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Schweiz 2022" sheetId="28" r:id="rId1"/>
    <sheet name="Graubünden 2022" sheetId="27" r:id="rId2"/>
    <sheet name="Uebersetzungen" sheetId="29" state="hidden" r:id="rId3"/>
  </sheets>
  <calcPr calcId="162913"/>
</workbook>
</file>

<file path=xl/calcChain.xml><?xml version="1.0" encoding="utf-8"?>
<calcChain xmlns="http://schemas.openxmlformats.org/spreadsheetml/2006/main">
  <c r="A48" i="27" l="1"/>
  <c r="A47" i="27"/>
  <c r="A46" i="27"/>
  <c r="A45" i="27"/>
  <c r="A46" i="28"/>
  <c r="A45" i="28"/>
  <c r="A44" i="28"/>
  <c r="H14" i="27"/>
  <c r="G14" i="27"/>
  <c r="F14" i="27"/>
  <c r="E14" i="27"/>
  <c r="D14" i="27"/>
  <c r="C14" i="27"/>
  <c r="G13" i="27"/>
  <c r="E13" i="27"/>
  <c r="C13" i="27"/>
  <c r="A10" i="27"/>
  <c r="A9" i="27"/>
  <c r="A9" i="28"/>
  <c r="A7" i="27"/>
  <c r="A7" i="28"/>
  <c r="A51" i="27"/>
  <c r="A50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6" i="27"/>
  <c r="B17" i="27"/>
  <c r="A16" i="27"/>
  <c r="A41" i="27"/>
  <c r="A30" i="27"/>
  <c r="A27" i="27"/>
  <c r="A25" i="27"/>
  <c r="A23" i="27"/>
  <c r="A18" i="27"/>
  <c r="A15" i="27"/>
  <c r="G14" i="28"/>
  <c r="F14" i="28"/>
  <c r="E14" i="28"/>
  <c r="D14" i="28"/>
  <c r="C14" i="28"/>
  <c r="B14" i="28"/>
  <c r="F13" i="28" l="1"/>
  <c r="D13" i="28"/>
  <c r="B13" i="28"/>
  <c r="A49" i="28"/>
  <c r="A48" i="28"/>
  <c r="A43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0" i="28"/>
</calcChain>
</file>

<file path=xl/sharedStrings.xml><?xml version="1.0" encoding="utf-8"?>
<sst xmlns="http://schemas.openxmlformats.org/spreadsheetml/2006/main" count="354" uniqueCount="302">
  <si>
    <t>Total</t>
  </si>
  <si>
    <t>Schweizer mit weiterer Staatsangehörigkeit</t>
  </si>
  <si>
    <t>Schweizer ohne weitere Staatsangehörigkeit</t>
  </si>
  <si>
    <t>Anzahl Personen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</si>
  <si>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</si>
  <si>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</si>
  <si>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</si>
  <si>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</si>
  <si>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</si>
  <si>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</si>
  <si>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</si>
  <si>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</si>
  <si>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</si>
  <si>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</si>
  <si>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</si>
  <si>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</si>
  <si>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</si>
  <si>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</si>
  <si>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</si>
  <si>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Aargau</t>
  </si>
  <si>
    <t>Thurgau</t>
  </si>
  <si>
    <t>Jura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</si>
  <si>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</si>
  <si>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</si>
  <si>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</si>
  <si>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</si>
  <si>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Geschlecht</t>
  </si>
  <si>
    <t>Männer</t>
  </si>
  <si>
    <t>Frauen</t>
  </si>
  <si>
    <t>Alter</t>
  </si>
  <si>
    <t>Arbeitsmarktstatus</t>
  </si>
  <si>
    <t>Erwerbstätige</t>
  </si>
  <si>
    <t>Erwerbslose</t>
  </si>
  <si>
    <t>Nichterwerbspersonen</t>
  </si>
  <si>
    <t>Sozioprofessionelle Kategorien</t>
  </si>
  <si>
    <t>Oberstes Management</t>
  </si>
  <si>
    <t>Freie und gleichgestellte Berufe</t>
  </si>
  <si>
    <t>Andere Selbstständige</t>
  </si>
  <si>
    <t>Akademische Berufe und oberes Kader</t>
  </si>
  <si>
    <t>Intermediäre Berufe</t>
  </si>
  <si>
    <t>Qualifizierte nichtmanuelle Berufe</t>
  </si>
  <si>
    <t>Qualifizierte manuelle Berufe</t>
  </si>
  <si>
    <t>Ungelernte Angestellte und Arbeiter</t>
  </si>
  <si>
    <t>Lernende in dualer beruflicher Grundbildung (Lehrlinge)</t>
  </si>
  <si>
    <t>Nicht zuteilbare Erwerbstätige (fehlende oder unklare Basisdaten oder unplausible Kombination)</t>
  </si>
  <si>
    <t>Erwerbslose und Nichterwerbspersonen</t>
  </si>
  <si>
    <t>Höchste abgeschlossene Ausbildung</t>
  </si>
  <si>
    <t>Obligatorische Schule</t>
  </si>
  <si>
    <t>Sekundarstufe II</t>
  </si>
  <si>
    <t>Tertiärstufe</t>
  </si>
  <si>
    <t>15-19</t>
  </si>
  <si>
    <t>20-39</t>
  </si>
  <si>
    <t>40-64</t>
  </si>
  <si>
    <t>65-79</t>
  </si>
  <si>
    <t>Geburtsort</t>
  </si>
  <si>
    <t>In der Schweiz</t>
  </si>
  <si>
    <t>Im Ausland</t>
  </si>
  <si>
    <t>Einbürgerung</t>
  </si>
  <si>
    <t>Eingebürgert</t>
  </si>
  <si>
    <t>Nicht eingebürgert</t>
  </si>
  <si>
    <t>Ständige schweizerische Wohnbevölkerung ab 15 Jahren</t>
  </si>
  <si>
    <t>Quelle: BFS (Strukturerhebung)</t>
  </si>
  <si>
    <t>Bern</t>
  </si>
  <si>
    <t>Freiburg</t>
  </si>
  <si>
    <t>Graubünden</t>
  </si>
  <si>
    <t>Wallis</t>
  </si>
  <si>
    <t>Tessin</t>
  </si>
  <si>
    <t>Waadt</t>
  </si>
  <si>
    <t>Neuenburg</t>
  </si>
  <si>
    <t>Genf</t>
  </si>
  <si>
    <t>80 und älter</t>
  </si>
  <si>
    <t>Tabelle</t>
  </si>
  <si>
    <t>Code</t>
  </si>
  <si>
    <t>DE</t>
  </si>
  <si>
    <t>RM</t>
  </si>
  <si>
    <t>IT</t>
  </si>
  <si>
    <t>Sprache</t>
  </si>
  <si>
    <t>T1</t>
  </si>
  <si>
    <t>&lt;Fachbereich&gt;</t>
  </si>
  <si>
    <t>Daten &amp; Statistik</t>
  </si>
  <si>
    <t>Datas &amp; Statistica</t>
  </si>
  <si>
    <t>Dati &amp; Statistica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</si>
  <si>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</si>
  <si>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</si>
  <si>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</si>
  <si>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</si>
  <si>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</si>
  <si>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</si>
  <si>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</si>
  <si>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</si>
  <si>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</si>
  <si>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</si>
  <si>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</si>
  <si>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</si>
  <si>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</si>
  <si>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</si>
  <si>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</si>
  <si>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</si>
  <si>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&lt;Aktualisierung&gt;</t>
  </si>
  <si>
    <t>&lt;UTitel&gt;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</si>
  <si>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</si>
  <si>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</si>
  <si>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</si>
  <si>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</si>
  <si>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</si>
  <si>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</si>
  <si>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</si>
  <si>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</si>
  <si>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</si>
  <si>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</si>
  <si>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</si>
  <si>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</si>
  <si>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</si>
  <si>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</si>
  <si>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</si>
  <si>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</si>
  <si>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</si>
  <si>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</si>
  <si>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</si>
  <si>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&lt;Quelle_1&gt;</t>
  </si>
  <si>
    <t>T1-2</t>
  </si>
  <si>
    <t>T2</t>
  </si>
  <si>
    <t>&lt;T2Titel&gt;</t>
  </si>
  <si>
    <t>&lt;T2UTitel&gt;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</si>
  <si>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</si>
  <si>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</si>
  <si>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</si>
  <si>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</si>
  <si>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</si>
  <si>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&lt;T2Zeilentitel_6&gt;</t>
  </si>
  <si>
    <t>&lt;T2Zeilentitel_7&gt;</t>
  </si>
  <si>
    <t>&lt;SpaltenTitel_1.1&gt;</t>
  </si>
  <si>
    <t>&lt;SpaltenTitel_1.2&gt;</t>
  </si>
  <si>
    <t>&lt;SpaltenTitel_2.1&gt;</t>
  </si>
  <si>
    <t>&lt;SpaltenTitel_2.2&gt;</t>
  </si>
  <si>
    <t>&lt;SpaltenTitel_3.1&gt;</t>
  </si>
  <si>
    <t>&lt;SpaltenTitel_3.2&gt;</t>
  </si>
  <si>
    <t>&lt;T2Zeilentitel_2.1&gt;</t>
  </si>
  <si>
    <t>&lt;T2Zeilentitel_2.2&gt;</t>
  </si>
  <si>
    <t>&lt;T2Zeilentitel_3.1&gt;</t>
  </si>
  <si>
    <t>&lt;T2Zeilentitel_3.2&gt;</t>
  </si>
  <si>
    <t>&lt;T2Zeilentitel_4.1&gt;</t>
  </si>
  <si>
    <t>&lt;T2Zeilentitel_4.2&gt;</t>
  </si>
  <si>
    <t>&lt;T2Zeilentitel_5.1&gt;</t>
  </si>
  <si>
    <t>&lt;T2Zeilentitel_5.2&gt;</t>
  </si>
  <si>
    <t>&lt;T2Zeilentitel_6.1&gt;</t>
  </si>
  <si>
    <t>&lt;T2Zeilentitel_6.2&gt;</t>
  </si>
  <si>
    <t>&lt;T2Zeilentitel_6.3&gt;</t>
  </si>
  <si>
    <t>&lt;T2Zeilentitel_7.1&gt;</t>
  </si>
  <si>
    <t>&lt;T2Zeilentitel_7.2&gt;</t>
  </si>
  <si>
    <t>&lt;T2Zeilentitel_7.3&gt;</t>
  </si>
  <si>
    <t>&lt;T2Zeilentitel_8&gt;</t>
  </si>
  <si>
    <t>&lt;T2Zeilentitel_3.3&gt;</t>
  </si>
  <si>
    <t>&lt;T2Zeilentitel_3.4&gt;</t>
  </si>
  <si>
    <t>&lt;T2Zeilentitel_3.5&gt;</t>
  </si>
  <si>
    <t>&lt;T2Zeilentitel_7.4&gt;</t>
  </si>
  <si>
    <t>&lt;T2Zeilentitel_7.5&gt;</t>
  </si>
  <si>
    <t>&lt;T2Zeilentitel_7.6&gt;</t>
  </si>
  <si>
    <t>&lt;T2Zeilentitel_7.7&gt;</t>
  </si>
  <si>
    <t>&lt;T2Zeilentitel_7.8&gt;</t>
  </si>
  <si>
    <t>&lt;T2Zeilentitel_7.9&gt;</t>
  </si>
  <si>
    <t>&lt;T2Zeilentitel_7.10&gt;</t>
  </si>
  <si>
    <t>&lt;T2Zeilentitel_7.11&gt;</t>
  </si>
  <si>
    <t>&lt;T2Zeilentitel_8.1&gt;</t>
  </si>
  <si>
    <t>&lt;T2Zeilentitel_8.2&gt;</t>
  </si>
  <si>
    <t>&lt;T2Zeilentitel_8.3&gt;</t>
  </si>
  <si>
    <t>&lt;T2Aktualisierung&gt;</t>
  </si>
  <si>
    <t>Totale</t>
  </si>
  <si>
    <t>Svizzeri/e con un'altra cittadinanza</t>
  </si>
  <si>
    <t>Svizzeri/e che non hanno un'altra cittadinanza</t>
  </si>
  <si>
    <t>Numero di persone</t>
  </si>
  <si>
    <t>(): Estrapolazione basata su meno di 50 osservazioni. I risultati sono da interpretare con molta precauzione.</t>
  </si>
  <si>
    <t>X : Estrapolazione basata su meno di 5 osservazioni. I risultati non sono pubblicati per ragioni legate alla protezione dei dati.</t>
  </si>
  <si>
    <t>L'universo di base della rilevazione strutturale comprende tutte le persone facenti parte della popolazione residente permanente di 15 anni e più che vivono in un'economia domestica.</t>
  </si>
  <si>
    <t>Sono esclusi diplomatici, i funzionari internazionali ed i loro familiari e le persone che vivono in una collettività.</t>
  </si>
  <si>
    <t>Fonte: UST - Rilevazione strutturale (RS)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</si>
  <si>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</si>
  <si>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</si>
  <si>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</si>
  <si>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</si>
  <si>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</si>
  <si>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</si>
  <si>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</si>
  <si>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</si>
  <si>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Friborgo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</si>
  <si>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</si>
  <si>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</si>
  <si>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</si>
  <si>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</si>
  <si>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</si>
  <si>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</si>
  <si>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</si>
  <si>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</si>
  <si>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</si>
  <si>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</si>
  <si>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</si>
  <si>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</si>
  <si>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</si>
  <si>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</si>
  <si>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</si>
  <si>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</si>
  <si>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Popolazione residente permanente svizzera di 15 anni e più</t>
  </si>
  <si>
    <t>Sesso</t>
  </si>
  <si>
    <t>Età</t>
  </si>
  <si>
    <t>Luogo di nascita</t>
  </si>
  <si>
    <t>Naturalizzazione</t>
  </si>
  <si>
    <t>Posizione nel mercato del lavoro</t>
  </si>
  <si>
    <t>Categorie socio-professionali</t>
  </si>
  <si>
    <t>Formazione più elevata conclusa</t>
  </si>
  <si>
    <t>Uomini</t>
  </si>
  <si>
    <t>Donne</t>
  </si>
  <si>
    <t>80 e più</t>
  </si>
  <si>
    <t>In Svizzera</t>
  </si>
  <si>
    <t>All'estero</t>
  </si>
  <si>
    <t>Naturalizzati</t>
  </si>
  <si>
    <t>Non naturalizzati</t>
  </si>
  <si>
    <t>Occupati</t>
  </si>
  <si>
    <t>Disoccupati</t>
  </si>
  <si>
    <t>Persone senza attività professionale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</si>
  <si>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</si>
  <si>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</si>
  <si>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</si>
  <si>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</si>
  <si>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</si>
  <si>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</si>
  <si>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</si>
  <si>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</si>
  <si>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</si>
  <si>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</si>
  <si>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</si>
  <si>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</si>
  <si>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</si>
  <si>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</si>
  <si>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Intervallo di confidenza: ± (in %)</t>
  </si>
  <si>
    <t>Sviz</t>
  </si>
  <si>
    <t>Soloturn</t>
  </si>
  <si>
    <t>Friburg</t>
  </si>
  <si>
    <t>Glaruna</t>
  </si>
  <si>
    <t>Schaffusa</t>
  </si>
  <si>
    <t>Sutsilvania</t>
  </si>
  <si>
    <t>Sursilvania</t>
  </si>
  <si>
    <t>Turitg</t>
  </si>
  <si>
    <t>Basilea-Citad</t>
  </si>
  <si>
    <t>Basilea-Champagna</t>
  </si>
  <si>
    <t>Appenzell Dadora</t>
  </si>
  <si>
    <t>Appenzell Dadens</t>
  </si>
  <si>
    <t>Son Gagl</t>
  </si>
  <si>
    <t>Genevra</t>
  </si>
  <si>
    <t>Vallais</t>
  </si>
  <si>
    <t>Vad</t>
  </si>
  <si>
    <t>Grischun</t>
  </si>
  <si>
    <t>Umens</t>
  </si>
  <si>
    <t>Dunnas</t>
  </si>
  <si>
    <t>Gender</t>
  </si>
  <si>
    <t>Vegliadetgna</t>
  </si>
  <si>
    <t>Lieu nativ</t>
  </si>
  <si>
    <t>Natiralisaziun</t>
  </si>
  <si>
    <t>Status dal martgà da lavur</t>
  </si>
  <si>
    <t>Categorias socioprofessiunalas</t>
  </si>
  <si>
    <t>La pli auta scolaziun terminada</t>
  </si>
  <si>
    <t>Populaziun residenta permanenta da la Svizra a partir da 15 onns</t>
  </si>
  <si>
    <t>80 e dapli</t>
  </si>
  <si>
    <t>En Svizra</t>
  </si>
  <si>
    <t>A l'ester</t>
  </si>
  <si>
    <t>Professiuns libras ed egualas</t>
  </si>
  <si>
    <t>Autras persunas independentas</t>
  </si>
  <si>
    <t>Professiuns academicas e cader superiur</t>
  </si>
  <si>
    <t>professiuns intermediaras</t>
  </si>
  <si>
    <t>Professiuns betg manualas qualifitgadas</t>
  </si>
  <si>
    <t>Professiuns manualas qualifitgadas</t>
  </si>
  <si>
    <t>Emploiads e lavurants betg emprendids</t>
  </si>
  <si>
    <t>Emprendistas ed emprendists en ina furmaziun fundamentala professiunala dubla (emprendists)</t>
  </si>
  <si>
    <t>Persunas cun activitad da gudogn che n'èn betg attribuiblas (datas da basa mancantas u betg cleras u ina cumbinaziun inclausibla)</t>
  </si>
  <si>
    <t>Persunas senza activitad da gudogn e persunas senza activitad da gudogn</t>
  </si>
  <si>
    <t>Scola obligatorica</t>
  </si>
  <si>
    <t>Stgalim secundar II</t>
  </si>
  <si>
    <t>Stgalim terziar</t>
  </si>
  <si>
    <t>Management suprem</t>
  </si>
  <si>
    <t>Persunas senza activitad da gudogn</t>
  </si>
  <si>
    <t>Persunas cun activitad da gudogn</t>
  </si>
  <si>
    <t>Nunnatiralisà</t>
  </si>
  <si>
    <t>Natiralisà</t>
  </si>
  <si>
    <t>(): Extrapolaziun sin basa da 49 u damain observaziuns. Ils resultats ston vegnir interpretads cun gronda precauziun.</t>
  </si>
  <si>
    <t>X: Extrapolaziun pervia da 4 u damain observaziuns. Per motivs da la protecziun da datas na vegnan ils resultats betg publitgads.</t>
  </si>
  <si>
    <t>La survista da basa da l'enquista da structura cumpiglia tut las persunas da la populaziun residenta permanenta a partir da 15 onns che vivan en chasadas privatas.</t>
  </si>
  <si>
    <t>Exclus da la totalitad fundamentala èn vegnids ultra da las persunas che vivan en chasadas collectivas er diplomats, funcziunaris internaziunals e lur confamigliars.</t>
  </si>
  <si>
    <t>Vertrauens- intervall: ± (in %)</t>
  </si>
  <si>
    <t>Interval da confidenza: ± (en %)</t>
  </si>
  <si>
    <t>Dumber da persunas</t>
  </si>
  <si>
    <t>Svizras e Svizzers cun in'ulteriura naziunalitad</t>
  </si>
  <si>
    <t>Svizzers senza ulteriura naziunalitad</t>
  </si>
  <si>
    <t>Funtauna: UST (enquista da structura)</t>
  </si>
  <si>
    <t>Doppelbürgerschaft nach soziodemografischen Merkmalen und Kanton</t>
  </si>
  <si>
    <t>Natiralisaziun dubla tenor caracteristicas sociodemograficas e tenor il chantun</t>
  </si>
  <si>
    <t>Doppia cittadinanza secondo diverse caratteristiche socio-demografiche e il Cantone</t>
  </si>
  <si>
    <t>Doppelbürgerschaft nach soziodemografischen Merkmalen im Kanton Graubünden</t>
  </si>
  <si>
    <t>Natiralisaziun dubla tenor caracteristicas sociodemograficas en il chantun Grischun</t>
  </si>
  <si>
    <t>Doppia cittadinanza secondo diverse caratteristiche socio-demografiche nel Cantone dei Grigioni</t>
  </si>
  <si>
    <t>Letztmals aktualisiert am: 26.01.2024</t>
  </si>
  <si>
    <t>Ultima actualisaziun: 26.01.2024</t>
  </si>
  <si>
    <t>Ulimo aggiornamento: 26.01.2024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</si>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</sst>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_ ;_ * \-#,##0_ ;_ * &quot;-&quot;??_ ;_ @_ "/>
    <numFmt numFmtId="166" formatCode="_-* #,##0.00\ _€_-;\-* #,##0.00\ _€_-;_-* &quot;-&quot;??\ _€_-;_-@_-"/>
    <numFmt numFmtId="167" formatCode="0.0"/>
    <numFmt numFmtId="168" formatCode="\(0.0\)"/>
    <numFmt numFmtId="169" formatCode="#\'##0"/>
    <numFmt numFmtId="170" formatCode="* #,###"/>
    <numFmt numFmtId="171" formatCode="\(0\)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sz val="10"/>
      <color rgb="FF4C4C4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96">
    <xf numFmtId="0" fontId="0" fillId="0" borderId="0" xfId="0"/>
    <xf numFmtId="0" fontId="3" fillId="4" borderId="0" xfId="0" applyFont="1" applyFill="1"/>
    <xf numFmtId="0" fontId="8" fillId="4" borderId="0" xfId="0" applyFont="1" applyFill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5" fontId="10" fillId="3" borderId="0" xfId="1" applyNumberFormat="1" applyFont="1" applyFill="1" applyBorder="1" applyAlignment="1" applyProtection="1">
      <alignment horizontal="left" vertical="top"/>
    </xf>
    <xf numFmtId="0" fontId="2" fillId="0" borderId="0" xfId="0" applyFont="1"/>
    <xf numFmtId="0" fontId="12" fillId="3" borderId="0" xfId="0" applyFont="1" applyFill="1" applyAlignment="1">
      <alignment horizontal="left" vertical="center"/>
    </xf>
    <xf numFmtId="0" fontId="2" fillId="2" borderId="0" xfId="0" applyFont="1" applyFill="1"/>
    <xf numFmtId="0" fontId="12" fillId="3" borderId="4" xfId="0" applyFont="1" applyFill="1" applyBorder="1" applyAlignment="1">
      <alignment horizontal="left" vertical="center" wrapText="1"/>
    </xf>
    <xf numFmtId="3" fontId="2" fillId="0" borderId="0" xfId="0" applyNumberFormat="1" applyFont="1"/>
    <xf numFmtId="169" fontId="2" fillId="0" borderId="0" xfId="0" applyNumberFormat="1" applyFont="1"/>
    <xf numFmtId="0" fontId="12" fillId="3" borderId="9" xfId="0" applyFont="1" applyFill="1" applyBorder="1" applyAlignment="1">
      <alignment horizontal="left" vertical="center" wrapText="1"/>
    </xf>
    <xf numFmtId="170" fontId="11" fillId="4" borderId="11" xfId="3" applyNumberFormat="1" applyFont="1" applyFill="1" applyBorder="1" applyAlignment="1" applyProtection="1">
      <alignment horizontal="right" vertical="center" wrapText="1"/>
    </xf>
    <xf numFmtId="167" fontId="11" fillId="4" borderId="2" xfId="3" applyNumberFormat="1" applyFont="1" applyFill="1" applyBorder="1" applyAlignment="1" applyProtection="1">
      <alignment horizontal="right" vertical="center" wrapText="1"/>
    </xf>
    <xf numFmtId="3" fontId="3" fillId="4" borderId="12" xfId="3" applyNumberFormat="1" applyFont="1" applyFill="1" applyBorder="1" applyAlignment="1" applyProtection="1">
      <alignment horizontal="right" vertical="center" wrapText="1"/>
    </xf>
    <xf numFmtId="167" fontId="3" fillId="4" borderId="0" xfId="3" applyNumberFormat="1" applyFont="1" applyFill="1" applyBorder="1" applyAlignment="1" applyProtection="1">
      <alignment horizontal="right" vertical="center" wrapText="1"/>
    </xf>
    <xf numFmtId="168" fontId="3" fillId="4" borderId="0" xfId="3" applyNumberFormat="1" applyFont="1" applyFill="1" applyBorder="1" applyAlignment="1" applyProtection="1">
      <alignment horizontal="right" vertical="center" wrapText="1"/>
    </xf>
    <xf numFmtId="3" fontId="3" fillId="5" borderId="12" xfId="3" applyNumberFormat="1" applyFont="1" applyFill="1" applyBorder="1" applyAlignment="1" applyProtection="1">
      <alignment horizontal="right" vertical="center" wrapText="1"/>
    </xf>
    <xf numFmtId="167" fontId="3" fillId="5" borderId="0" xfId="3" applyNumberFormat="1" applyFont="1" applyFill="1" applyBorder="1" applyAlignment="1" applyProtection="1">
      <alignment horizontal="right" vertical="center" wrapText="1"/>
    </xf>
    <xf numFmtId="167" fontId="11" fillId="4" borderId="6" xfId="3" applyNumberFormat="1" applyFont="1" applyFill="1" applyBorder="1" applyAlignment="1" applyProtection="1">
      <alignment horizontal="right" vertical="center" wrapText="1"/>
    </xf>
    <xf numFmtId="170" fontId="11" fillId="4" borderId="5" xfId="3" applyNumberFormat="1" applyFont="1" applyFill="1" applyBorder="1" applyAlignment="1" applyProtection="1">
      <alignment horizontal="right" vertical="center" wrapText="1"/>
    </xf>
    <xf numFmtId="167" fontId="3" fillId="4" borderId="8" xfId="3" applyNumberFormat="1" applyFont="1" applyFill="1" applyBorder="1" applyAlignment="1" applyProtection="1">
      <alignment horizontal="right" vertical="center" wrapText="1"/>
    </xf>
    <xf numFmtId="3" fontId="3" fillId="4" borderId="7" xfId="3" applyNumberFormat="1" applyFont="1" applyFill="1" applyBorder="1" applyAlignment="1" applyProtection="1">
      <alignment horizontal="right" vertical="center" wrapText="1"/>
    </xf>
    <xf numFmtId="171" fontId="3" fillId="4" borderId="7" xfId="3" applyNumberFormat="1" applyFont="1" applyFill="1" applyBorder="1" applyAlignment="1" applyProtection="1">
      <alignment horizontal="right" vertical="center" wrapText="1"/>
    </xf>
    <xf numFmtId="167" fontId="3" fillId="5" borderId="8" xfId="3" applyNumberFormat="1" applyFont="1" applyFill="1" applyBorder="1" applyAlignment="1" applyProtection="1">
      <alignment horizontal="right" vertical="center" wrapText="1"/>
    </xf>
    <xf numFmtId="3" fontId="3" fillId="5" borderId="7" xfId="3" applyNumberFormat="1" applyFont="1" applyFill="1" applyBorder="1" applyAlignment="1" applyProtection="1">
      <alignment horizontal="right" vertical="center" wrapText="1"/>
    </xf>
    <xf numFmtId="170" fontId="3" fillId="4" borderId="12" xfId="3" applyNumberFormat="1" applyFont="1" applyFill="1" applyBorder="1" applyAlignment="1" applyProtection="1">
      <alignment horizontal="right" vertical="center" wrapText="1"/>
    </xf>
    <xf numFmtId="171" fontId="3" fillId="4" borderId="12" xfId="3" applyNumberFormat="1" applyFont="1" applyFill="1" applyBorder="1" applyAlignment="1" applyProtection="1">
      <alignment horizontal="right" vertical="center" wrapText="1"/>
    </xf>
    <xf numFmtId="170" fontId="3" fillId="4" borderId="7" xfId="3" applyNumberFormat="1" applyFont="1" applyFill="1" applyBorder="1" applyAlignment="1" applyProtection="1">
      <alignment horizontal="right" vertical="center" wrapText="1"/>
    </xf>
    <xf numFmtId="168" fontId="3" fillId="4" borderId="8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top"/>
    </xf>
    <xf numFmtId="0" fontId="0" fillId="4" borderId="0" xfId="0" applyFill="1"/>
    <xf numFmtId="1" fontId="3" fillId="4" borderId="0" xfId="0" applyNumberFormat="1" applyFont="1" applyFill="1"/>
    <xf numFmtId="0" fontId="15" fillId="4" borderId="0" xfId="0" applyFont="1" applyFill="1"/>
    <xf numFmtId="0" fontId="12" fillId="3" borderId="4" xfId="0" applyFont="1" applyFill="1" applyBorder="1" applyAlignment="1">
      <alignment horizontal="left" vertical="center"/>
    </xf>
    <xf numFmtId="167" fontId="11" fillId="4" borderId="13" xfId="3" applyNumberFormat="1" applyFont="1" applyFill="1" applyBorder="1" applyAlignment="1" applyProtection="1">
      <alignment horizontal="right" vertical="center" wrapText="1"/>
    </xf>
    <xf numFmtId="167" fontId="3" fillId="4" borderId="14" xfId="3" applyNumberFormat="1" applyFont="1" applyFill="1" applyBorder="1" applyAlignment="1" applyProtection="1">
      <alignment horizontal="right" vertical="center" wrapText="1"/>
    </xf>
    <xf numFmtId="167" fontId="3" fillId="5" borderId="14" xfId="3" applyNumberFormat="1" applyFont="1" applyFill="1" applyBorder="1" applyAlignment="1" applyProtection="1">
      <alignment horizontal="right" vertical="center" wrapText="1"/>
    </xf>
    <xf numFmtId="3" fontId="3" fillId="4" borderId="15" xfId="3" applyNumberFormat="1" applyFont="1" applyFill="1" applyBorder="1" applyAlignment="1" applyProtection="1">
      <alignment horizontal="right" vertical="center" wrapText="1"/>
    </xf>
    <xf numFmtId="167" fontId="3" fillId="4" borderId="16" xfId="3" applyNumberFormat="1" applyFont="1" applyFill="1" applyBorder="1" applyAlignment="1" applyProtection="1">
      <alignment horizontal="right" vertical="center" wrapText="1"/>
    </xf>
    <xf numFmtId="3" fontId="3" fillId="4" borderId="17" xfId="3" applyNumberFormat="1" applyFont="1" applyFill="1" applyBorder="1" applyAlignment="1" applyProtection="1">
      <alignment horizontal="right" vertical="center" wrapText="1"/>
    </xf>
    <xf numFmtId="167" fontId="3" fillId="4" borderId="18" xfId="3" applyNumberFormat="1" applyFont="1" applyFill="1" applyBorder="1" applyAlignment="1" applyProtection="1">
      <alignment horizontal="right" vertical="center" wrapText="1"/>
    </xf>
    <xf numFmtId="167" fontId="3" fillId="4" borderId="19" xfId="3" applyNumberFormat="1" applyFont="1" applyFill="1" applyBorder="1" applyAlignment="1" applyProtection="1">
      <alignment horizontal="righ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3" fontId="3" fillId="5" borderId="21" xfId="3" applyNumberFormat="1" applyFont="1" applyFill="1" applyBorder="1" applyAlignment="1" applyProtection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12" fillId="4" borderId="30" xfId="1" applyNumberFormat="1" applyFont="1" applyFill="1" applyBorder="1" applyAlignment="1" applyProtection="1">
      <alignment horizontal="right" vertical="top" wrapText="1"/>
    </xf>
    <xf numFmtId="0" fontId="12" fillId="4" borderId="9" xfId="1" applyNumberFormat="1" applyFont="1" applyFill="1" applyBorder="1" applyAlignment="1" applyProtection="1">
      <alignment horizontal="right" vertical="top" wrapText="1"/>
    </xf>
    <xf numFmtId="0" fontId="12" fillId="4" borderId="31" xfId="1" applyNumberFormat="1" applyFont="1" applyFill="1" applyBorder="1" applyAlignment="1" applyProtection="1">
      <alignment horizontal="right" vertical="top" wrapText="1"/>
    </xf>
    <xf numFmtId="0" fontId="2" fillId="0" borderId="0" xfId="0" applyFont="1" applyBorder="1"/>
    <xf numFmtId="169" fontId="3" fillId="4" borderId="0" xfId="1" applyNumberFormat="1" applyFont="1" applyFill="1" applyBorder="1" applyAlignment="1" applyProtection="1">
      <alignment horizontal="right" vertical="center" wrapText="1"/>
    </xf>
    <xf numFmtId="167" fontId="3" fillId="4" borderId="0" xfId="1" applyNumberFormat="1" applyFont="1" applyFill="1" applyBorder="1" applyAlignment="1" applyProtection="1">
      <alignment horizontal="right" vertical="center" wrapText="1"/>
    </xf>
    <xf numFmtId="1" fontId="3" fillId="4" borderId="0" xfId="1" applyNumberFormat="1" applyFont="1" applyFill="1" applyBorder="1" applyAlignment="1" applyProtection="1">
      <alignment horizontal="right" vertical="center" wrapText="1"/>
    </xf>
    <xf numFmtId="0" fontId="13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13" fillId="3" borderId="21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top"/>
    </xf>
    <xf numFmtId="0" fontId="2" fillId="0" borderId="21" xfId="0" applyFont="1" applyBorder="1"/>
    <xf numFmtId="168" fontId="3" fillId="4" borderId="14" xfId="3" applyNumberFormat="1" applyFont="1" applyFill="1" applyBorder="1" applyAlignment="1" applyProtection="1">
      <alignment horizontal="right" vertical="center" wrapText="1"/>
    </xf>
    <xf numFmtId="0" fontId="2" fillId="0" borderId="22" xfId="0" applyFont="1" applyBorder="1"/>
    <xf numFmtId="0" fontId="12" fillId="3" borderId="36" xfId="0" applyFont="1" applyFill="1" applyBorder="1" applyAlignment="1">
      <alignment horizontal="left" vertical="center" wrapText="1"/>
    </xf>
    <xf numFmtId="0" fontId="12" fillId="4" borderId="34" xfId="1" applyNumberFormat="1" applyFont="1" applyFill="1" applyBorder="1" applyAlignment="1" applyProtection="1">
      <alignment horizontal="right" vertical="top" wrapText="1"/>
    </xf>
    <xf numFmtId="0" fontId="12" fillId="4" borderId="37" xfId="1" applyNumberFormat="1" applyFont="1" applyFill="1" applyBorder="1" applyAlignment="1" applyProtection="1">
      <alignment horizontal="right" vertical="top" wrapText="1"/>
    </xf>
    <xf numFmtId="0" fontId="12" fillId="4" borderId="38" xfId="1" applyNumberFormat="1" applyFont="1" applyFill="1" applyBorder="1" applyAlignment="1" applyProtection="1">
      <alignment horizontal="right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9" fillId="5" borderId="40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</cellXfs>
  <cellStyles count="11">
    <cellStyle name="Komma" xfId="1" builtinId="3"/>
    <cellStyle name="Komma 2" xfId="2"/>
    <cellStyle name="Komma 3" xfId="3"/>
    <cellStyle name="Normale 2" xfId="10"/>
    <cellStyle name="Standard" xfId="0" builtinId="0"/>
    <cellStyle name="Standard 2" xfId="4"/>
    <cellStyle name="Standard 2 2" xfId="7"/>
    <cellStyle name="Standard 3" xfId="5"/>
    <cellStyle name="Standard 4" xfId="6"/>
    <cellStyle name="Standard 4 2" xfId="8"/>
    <cellStyle name="Standard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177800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38100</xdr:rowOff>
    </xdr:from>
    <xdr:to>
      <xdr:col>9</xdr:col>
      <xdr:colOff>219689</xdr:colOff>
      <xdr:row>5</xdr:row>
      <xdr:rowOff>2648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3810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511175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38100</xdr:rowOff>
    </xdr:from>
    <xdr:to>
      <xdr:col>7</xdr:col>
      <xdr:colOff>276839</xdr:colOff>
      <xdr:row>5</xdr:row>
      <xdr:rowOff>2648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981575" y="38100"/>
          <a:ext cx="2400914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showGridLines="0" tabSelected="1" workbookViewId="0"/>
  </sheetViews>
  <sheetFormatPr baseColWidth="10" defaultRowHeight="12.75" x14ac:dyDescent="0.2"/>
  <cols>
    <col min="1" max="1" width="18.375" style="6" customWidth="1"/>
    <col min="2" max="2" width="8.75" style="6" customWidth="1"/>
    <col min="3" max="3" width="9.125" style="6" bestFit="1" customWidth="1"/>
    <col min="4" max="4" width="8.75" style="6" customWidth="1"/>
    <col min="5" max="5" width="9.125" style="6" bestFit="1" customWidth="1"/>
    <col min="6" max="6" width="8.75" style="6" customWidth="1"/>
    <col min="7" max="7" width="9.125" style="6" bestFit="1" customWidth="1"/>
    <col min="8" max="16384" width="11" style="6"/>
  </cols>
  <sheetData>
    <row r="1" spans="1:9" s="1" customFormat="1" x14ac:dyDescent="0.2"/>
    <row r="2" spans="1:9" s="1" customFormat="1" ht="15.75" x14ac:dyDescent="0.25">
      <c r="B2" s="2"/>
      <c r="C2" s="32"/>
      <c r="D2" s="32"/>
    </row>
    <row r="3" spans="1:9" s="1" customFormat="1" ht="15.75" x14ac:dyDescent="0.25">
      <c r="B3" s="2"/>
      <c r="C3" s="32"/>
      <c r="D3" s="32"/>
    </row>
    <row r="4" spans="1:9" s="1" customFormat="1" ht="15.75" x14ac:dyDescent="0.25">
      <c r="B4" s="2"/>
      <c r="C4" s="32"/>
      <c r="D4" s="32"/>
    </row>
    <row r="5" spans="1:9" s="1" customFormat="1" x14ac:dyDescent="0.2"/>
    <row r="6" spans="1:9" s="1" customFormat="1" x14ac:dyDescent="0.2"/>
    <row r="7" spans="1:9" s="1" customFormat="1" ht="15.75" customHeight="1" x14ac:dyDescent="0.2">
      <c r="A7" s="84" t="str">
        <f>VLOOKUP("&lt;Fachbereich&gt;",Uebersetzungen!$B$3:$E$31,Uebersetzungen!$B$2+1,FALSE)</f>
        <v>Daten &amp; Statistik</v>
      </c>
      <c r="B7" s="84"/>
      <c r="C7" s="84"/>
      <c r="D7" s="84"/>
      <c r="E7" s="34"/>
      <c r="F7" s="34"/>
      <c r="G7" s="34"/>
      <c r="H7" s="34"/>
      <c r="I7" s="34"/>
    </row>
    <row r="8" spans="1:9" s="1" customFormat="1" x14ac:dyDescent="0.2"/>
    <row r="9" spans="1:9" ht="18" x14ac:dyDescent="0.2">
      <c r="A9" s="3" t="str">
        <f>VLOOKUP("&lt;Titel&gt;",Uebersetzungen!$B$3:$E$31,Uebersetzungen!$B$2+1,FALSE)</f>
        <v>Doppelbürgerschaft nach soziodemografischen Merkmalen und Kanton</v>
      </c>
      <c r="B9" s="4"/>
      <c r="C9" s="5"/>
      <c r="D9" s="5"/>
      <c r="E9" s="5"/>
      <c r="F9" s="5"/>
      <c r="G9" s="5"/>
    </row>
    <row r="10" spans="1:9" x14ac:dyDescent="0.2">
      <c r="A10" s="7" t="str">
        <f>VLOOKUP("&lt;UTitel&gt;",Uebersetzungen!$B$3:$E$31,Uebersetzungen!$B$2+1,FALSE)</f>
        <v>Ständige schweizerische Wohnbevölkerung ab 15 Jahren</v>
      </c>
      <c r="B10" s="4"/>
      <c r="C10" s="5"/>
      <c r="D10" s="5"/>
      <c r="E10" s="5"/>
      <c r="F10" s="5"/>
      <c r="G10" s="5"/>
    </row>
    <row r="11" spans="1:9" ht="13.5" thickBot="1" x14ac:dyDescent="0.25">
      <c r="A11" s="7"/>
      <c r="B11" s="4"/>
      <c r="C11" s="5"/>
      <c r="D11" s="5"/>
      <c r="E11" s="5"/>
      <c r="F11" s="5"/>
      <c r="G11" s="5"/>
    </row>
    <row r="12" spans="1:9" ht="18.75" thickBot="1" x14ac:dyDescent="0.3">
      <c r="A12" s="8"/>
      <c r="B12" s="85">
        <v>2022</v>
      </c>
      <c r="C12" s="86"/>
      <c r="D12" s="86"/>
      <c r="E12" s="86"/>
      <c r="F12" s="86"/>
      <c r="G12" s="87"/>
    </row>
    <row r="13" spans="1:9" ht="37.5" customHeight="1" thickBot="1" x14ac:dyDescent="0.25">
      <c r="A13" s="79"/>
      <c r="B13" s="81" t="str">
        <f>VLOOKUP("&lt;SpaltenTitel_1&gt;",Uebersetzungen!$B$3:$E$31,Uebersetzungen!$B$2+1,FALSE)</f>
        <v>Total</v>
      </c>
      <c r="C13" s="82"/>
      <c r="D13" s="82" t="str">
        <f>VLOOKUP("&lt;SpaltenTitel_2&gt;",Uebersetzungen!$B$3:$E$31,Uebersetzungen!$B$2+1,FALSE)</f>
        <v>Schweizer mit weiterer Staatsangehörigkeit</v>
      </c>
      <c r="E13" s="82"/>
      <c r="F13" s="82" t="str">
        <f>VLOOKUP("&lt;SpaltenTitel_3&gt;",Uebersetzungen!$B$3:$E$31,Uebersetzungen!$B$2+1,FALSE)</f>
        <v>Schweizer ohne weitere Staatsangehörigkeit</v>
      </c>
      <c r="G13" s="83"/>
    </row>
    <row r="14" spans="1:9" ht="39" thickBot="1" x14ac:dyDescent="0.25">
      <c r="A14" s="80"/>
      <c r="B14" s="76" t="str">
        <f>VLOOKUP("&lt;SpaltenTitel_1.1&gt;",Uebersetzungen!$B$3:$E$31,Uebersetzungen!$B$2+1,FALSE)</f>
        <v>Anzahl Personen</v>
      </c>
      <c r="C14" s="77" t="str">
        <f>VLOOKUP("&lt;SpaltenTitel_1.2&gt;",Uebersetzungen!$B$3:$E$31,Uebersetzungen!$B$2+1,FALSE)</f>
        <v>Vertrauens- intervall: ± (in %)</v>
      </c>
      <c r="D14" s="77" t="str">
        <f>VLOOKUP("&lt;SpaltenTitel_2.1&gt;",Uebersetzungen!$B$3:$E$31,Uebersetzungen!$B$2+1,FALSE)</f>
        <v>Anzahl Personen</v>
      </c>
      <c r="E14" s="77" t="str">
        <f>VLOOKUP("&lt;SpaltenTitel_2.2&gt;",Uebersetzungen!$B$3:$E$31,Uebersetzungen!$B$2+1,FALSE)</f>
        <v>Vertrauens- intervall: ± (in %)</v>
      </c>
      <c r="F14" s="77" t="str">
        <f>VLOOKUP("&lt;SpaltenTitel_3.1&gt;",Uebersetzungen!$B$3:$E$31,Uebersetzungen!$B$2+1,FALSE)</f>
        <v>Anzahl Personen</v>
      </c>
      <c r="G14" s="78" t="str">
        <f>VLOOKUP("&lt;SpaltenTitel_3.2&gt;",Uebersetzungen!$B$3:$E$31,Uebersetzungen!$B$2+1,FALSE)</f>
        <v>Vertrauens- intervall: ± (in %)</v>
      </c>
    </row>
    <row r="15" spans="1:9" x14ac:dyDescent="0.2">
      <c r="A15" s="44" t="str">
        <f>VLOOKUP("&lt;Zeilentitel_1&gt;",Uebersetzungen!$B$3:$E$31,Uebersetzungen!$B$2+1,FALSE)</f>
        <v>Total</v>
      </c>
      <c r="B15" s="13">
        <v>5445747.0000000466</v>
      </c>
      <c r="C15" s="20">
        <v>0.20773824795785847</v>
      </c>
      <c r="D15" s="21">
        <v>1094958.5594144547</v>
      </c>
      <c r="E15" s="14">
        <v>0.87216604473040393</v>
      </c>
      <c r="F15" s="21">
        <v>4350788.4405855909</v>
      </c>
      <c r="G15" s="36">
        <v>0.29276382503835496</v>
      </c>
    </row>
    <row r="16" spans="1:9" x14ac:dyDescent="0.2">
      <c r="A16" s="45" t="str">
        <f>VLOOKUP("&lt;Zeilentitel_2&gt;",Uebersetzungen!$B$3:$E$31,Uebersetzungen!$B$2+1,FALSE)</f>
        <v>Zürich</v>
      </c>
      <c r="B16" s="15">
        <v>946538.99999999744</v>
      </c>
      <c r="C16" s="22">
        <v>0.59628650993338683</v>
      </c>
      <c r="D16" s="23">
        <v>235610.64063367553</v>
      </c>
      <c r="E16" s="16">
        <v>2.1377827029441225</v>
      </c>
      <c r="F16" s="23">
        <v>710928.35936632194</v>
      </c>
      <c r="G16" s="37">
        <v>0.88907929355526849</v>
      </c>
    </row>
    <row r="17" spans="1:7" x14ac:dyDescent="0.2">
      <c r="A17" s="45" t="str">
        <f>VLOOKUP("&lt;Zeilentitel_3&gt;",Uebersetzungen!$B$3:$E$31,Uebersetzungen!$B$2+1,FALSE)</f>
        <v>Bern</v>
      </c>
      <c r="B17" s="15">
        <v>733396.00000003143</v>
      </c>
      <c r="C17" s="22">
        <v>0.51014043486166294</v>
      </c>
      <c r="D17" s="23">
        <v>83118.718637951155</v>
      </c>
      <c r="E17" s="16">
        <v>3.7378961900326706</v>
      </c>
      <c r="F17" s="23">
        <v>650277.28136208025</v>
      </c>
      <c r="G17" s="37">
        <v>0.68705956267236812</v>
      </c>
    </row>
    <row r="18" spans="1:7" x14ac:dyDescent="0.2">
      <c r="A18" s="45" t="str">
        <f>VLOOKUP("&lt;Zeilentitel_4&gt;",Uebersetzungen!$B$3:$E$31,Uebersetzungen!$B$2+1,FALSE)</f>
        <v>Luzern</v>
      </c>
      <c r="B18" s="15">
        <v>283053.00000000076</v>
      </c>
      <c r="C18" s="22">
        <v>0.61620438083618456</v>
      </c>
      <c r="D18" s="23">
        <v>32732.028327309639</v>
      </c>
      <c r="E18" s="16">
        <v>4.1238035523693943</v>
      </c>
      <c r="F18" s="23">
        <v>250320.97167269114</v>
      </c>
      <c r="G18" s="37">
        <v>0.80897246406312495</v>
      </c>
    </row>
    <row r="19" spans="1:7" x14ac:dyDescent="0.2">
      <c r="A19" s="45" t="str">
        <f>VLOOKUP("&lt;Zeilentitel_5&gt;",Uebersetzungen!$B$3:$E$31,Uebersetzungen!$B$2+1,FALSE)</f>
        <v>Uri</v>
      </c>
      <c r="B19" s="15">
        <v>26923.999999999836</v>
      </c>
      <c r="C19" s="22">
        <v>2.2488410116880906</v>
      </c>
      <c r="D19" s="23">
        <v>1799.5899231852914</v>
      </c>
      <c r="E19" s="16">
        <v>25.114971976572765</v>
      </c>
      <c r="F19" s="23">
        <v>25124.410076814544</v>
      </c>
      <c r="G19" s="37">
        <v>2.8549474539514557</v>
      </c>
    </row>
    <row r="20" spans="1:7" x14ac:dyDescent="0.2">
      <c r="A20" s="45" t="str">
        <f>VLOOKUP("&lt;Zeilentitel_6&gt;",Uebersetzungen!$B$3:$E$31,Uebersetzungen!$B$2+1,FALSE)</f>
        <v>Schwyz</v>
      </c>
      <c r="B20" s="15">
        <v>107020.00000000164</v>
      </c>
      <c r="C20" s="22">
        <v>1.5766032663441285</v>
      </c>
      <c r="D20" s="23">
        <v>12544.262560038853</v>
      </c>
      <c r="E20" s="16">
        <v>9.4586515062900745</v>
      </c>
      <c r="F20" s="23">
        <v>94475.737439962788</v>
      </c>
      <c r="G20" s="37">
        <v>2.0065481997878805</v>
      </c>
    </row>
    <row r="21" spans="1:7" x14ac:dyDescent="0.2">
      <c r="A21" s="45" t="str">
        <f>VLOOKUP("&lt;Zeilentitel_7&gt;",Uebersetzungen!$B$3:$E$31,Uebersetzungen!$B$2+1,FALSE)</f>
        <v>Obwalden</v>
      </c>
      <c r="B21" s="15">
        <v>27237.999999999854</v>
      </c>
      <c r="C21" s="22">
        <v>2.524889820961401</v>
      </c>
      <c r="D21" s="24">
        <v>1440.9690793099014</v>
      </c>
      <c r="E21" s="17">
        <v>27.712077507987708</v>
      </c>
      <c r="F21" s="23">
        <v>25797.030920689955</v>
      </c>
      <c r="G21" s="37">
        <v>2.996622103814516</v>
      </c>
    </row>
    <row r="22" spans="1:7" x14ac:dyDescent="0.2">
      <c r="A22" s="45" t="str">
        <f>VLOOKUP("&lt;Zeilentitel_8&gt;",Uebersetzungen!$B$3:$E$31,Uebersetzungen!$B$2+1,FALSE)</f>
        <v>Nidwalden</v>
      </c>
      <c r="B22" s="15">
        <v>31747.000000000051</v>
      </c>
      <c r="C22" s="22">
        <v>2.4937219439264151</v>
      </c>
      <c r="D22" s="23">
        <v>2993.2427731202938</v>
      </c>
      <c r="E22" s="16">
        <v>20.108755529053255</v>
      </c>
      <c r="F22" s="23">
        <v>28753.757226879756</v>
      </c>
      <c r="G22" s="37">
        <v>3.2653863718938467</v>
      </c>
    </row>
    <row r="23" spans="1:7" x14ac:dyDescent="0.2">
      <c r="A23" s="45" t="str">
        <f>VLOOKUP("&lt;Zeilentitel_9&gt;",Uebersetzungen!$B$3:$E$31,Uebersetzungen!$B$2+1,FALSE)</f>
        <v>Glarus</v>
      </c>
      <c r="B23" s="15">
        <v>25965.000000000022</v>
      </c>
      <c r="C23" s="22">
        <v>3.8454587556769151</v>
      </c>
      <c r="D23" s="23">
        <v>4383.6492376843462</v>
      </c>
      <c r="E23" s="16">
        <v>17.211064074023344</v>
      </c>
      <c r="F23" s="23">
        <v>21581.350762315677</v>
      </c>
      <c r="G23" s="37">
        <v>5.1193499545406116</v>
      </c>
    </row>
    <row r="24" spans="1:7" x14ac:dyDescent="0.2">
      <c r="A24" s="45" t="str">
        <f>VLOOKUP("&lt;Zeilentitel_10&gt;",Uebersetzungen!$B$3:$E$31,Uebersetzungen!$B$2+1,FALSE)</f>
        <v>Zug</v>
      </c>
      <c r="B24" s="15">
        <v>77724.000000002095</v>
      </c>
      <c r="C24" s="22">
        <v>1.4439725131492371</v>
      </c>
      <c r="D24" s="23">
        <v>14171.022514339946</v>
      </c>
      <c r="E24" s="16">
        <v>6.1114877219317529</v>
      </c>
      <c r="F24" s="23">
        <v>63552.977485662144</v>
      </c>
      <c r="G24" s="37">
        <v>1.9513373720774607</v>
      </c>
    </row>
    <row r="25" spans="1:7" x14ac:dyDescent="0.2">
      <c r="A25" s="45" t="str">
        <f>VLOOKUP("&lt;Zeilentitel_11&gt;",Uebersetzungen!$B$3:$E$31,Uebersetzungen!$B$2+1,FALSE)</f>
        <v>Freiburg</v>
      </c>
      <c r="B25" s="15">
        <v>210794.99999999904</v>
      </c>
      <c r="C25" s="22">
        <v>1.1207988236284254</v>
      </c>
      <c r="D25" s="23">
        <v>32587.263663110185</v>
      </c>
      <c r="E25" s="16">
        <v>5.8538903906867592</v>
      </c>
      <c r="F25" s="23">
        <v>178207.73633688886</v>
      </c>
      <c r="G25" s="37">
        <v>1.5230156399072392</v>
      </c>
    </row>
    <row r="26" spans="1:7" x14ac:dyDescent="0.2">
      <c r="A26" s="45" t="str">
        <f>VLOOKUP("&lt;Zeilentitel_12&gt;",Uebersetzungen!$B$3:$E$31,Uebersetzungen!$B$2+1,FALSE)</f>
        <v>Solothurn</v>
      </c>
      <c r="B26" s="15">
        <v>181075.00000000122</v>
      </c>
      <c r="C26" s="22">
        <v>1.2423340604508599</v>
      </c>
      <c r="D26" s="23">
        <v>22675.106978518746</v>
      </c>
      <c r="E26" s="16">
        <v>7.2905107273267236</v>
      </c>
      <c r="F26" s="23">
        <v>158399.89302148248</v>
      </c>
      <c r="G26" s="37">
        <v>1.5948925009704131</v>
      </c>
    </row>
    <row r="27" spans="1:7" x14ac:dyDescent="0.2">
      <c r="A27" s="45" t="str">
        <f>VLOOKUP("&lt;Zeilentitel_13&gt;",Uebersetzungen!$B$3:$E$31,Uebersetzungen!$B$2+1,FALSE)</f>
        <v>Basel-Stadt</v>
      </c>
      <c r="B27" s="15">
        <v>104061.00000000391</v>
      </c>
      <c r="C27" s="22">
        <v>2.123998732511899</v>
      </c>
      <c r="D27" s="23">
        <v>28158.697150098349</v>
      </c>
      <c r="E27" s="16">
        <v>6.377789100959105</v>
      </c>
      <c r="F27" s="23">
        <v>75902.30284990558</v>
      </c>
      <c r="G27" s="37">
        <v>3.0174484657744176</v>
      </c>
    </row>
    <row r="28" spans="1:7" x14ac:dyDescent="0.2">
      <c r="A28" s="45" t="str">
        <f>VLOOKUP("&lt;Zeilentitel_14&gt;",Uebersetzungen!$B$3:$E$31,Uebersetzungen!$B$2+1,FALSE)</f>
        <v>Basel-Landschaft</v>
      </c>
      <c r="B28" s="15">
        <v>189445.999999997</v>
      </c>
      <c r="C28" s="22">
        <v>1.1929725283444996</v>
      </c>
      <c r="D28" s="23">
        <v>32569.544117827296</v>
      </c>
      <c r="E28" s="16">
        <v>5.8073061181071157</v>
      </c>
      <c r="F28" s="23">
        <v>156876.45588216971</v>
      </c>
      <c r="G28" s="37">
        <v>1.6621235728779091</v>
      </c>
    </row>
    <row r="29" spans="1:7" x14ac:dyDescent="0.2">
      <c r="A29" s="45" t="str">
        <f>VLOOKUP("&lt;Zeilentitel_15&gt;",Uebersetzungen!$B$3:$E$52,Uebersetzungen!$B$2+1,FALSE)</f>
        <v>Schaffhausen</v>
      </c>
      <c r="B29" s="15">
        <v>52234.999999999367</v>
      </c>
      <c r="C29" s="22">
        <v>2.4824254287967027</v>
      </c>
      <c r="D29" s="23">
        <v>9735.4303050448798</v>
      </c>
      <c r="E29" s="16">
        <v>10.725386223077264</v>
      </c>
      <c r="F29" s="23">
        <v>42499.569694954487</v>
      </c>
      <c r="G29" s="37">
        <v>3.4287886885816592</v>
      </c>
    </row>
    <row r="30" spans="1:7" ht="14.25" customHeight="1" x14ac:dyDescent="0.2">
      <c r="A30" s="45" t="str">
        <f>VLOOKUP("&lt;Zeilentitel_16&gt;",Uebersetzungen!$B$3:$E$52,Uebersetzungen!$B$2+1,FALSE)</f>
        <v>Appenzell Ausserrhoden</v>
      </c>
      <c r="B30" s="15">
        <v>38064.999999999302</v>
      </c>
      <c r="C30" s="22">
        <v>2.4813226807121933</v>
      </c>
      <c r="D30" s="23">
        <v>4463.3023579760302</v>
      </c>
      <c r="E30" s="16">
        <v>16.819155225350297</v>
      </c>
      <c r="F30" s="23">
        <v>33601.697642023275</v>
      </c>
      <c r="G30" s="37">
        <v>3.2651790713866018</v>
      </c>
    </row>
    <row r="31" spans="1:7" x14ac:dyDescent="0.2">
      <c r="A31" s="45" t="str">
        <f>VLOOKUP("&lt;Zeilentitel_17&gt;",Uebersetzungen!$B$3:$E$52,Uebersetzungen!$B$2+1,FALSE)</f>
        <v>Appenzell Innerrhoden</v>
      </c>
      <c r="B31" s="15">
        <v>11946.99999999996</v>
      </c>
      <c r="C31" s="22">
        <v>3.1167097042434833</v>
      </c>
      <c r="D31" s="24">
        <v>632.24612084442094</v>
      </c>
      <c r="E31" s="17">
        <v>44.815333398546827</v>
      </c>
      <c r="F31" s="23">
        <v>11314.75387915554</v>
      </c>
      <c r="G31" s="37">
        <v>3.9686898150030143</v>
      </c>
    </row>
    <row r="32" spans="1:7" x14ac:dyDescent="0.2">
      <c r="A32" s="45" t="str">
        <f>VLOOKUP("&lt;Zeilentitel_18&gt;",Uebersetzungen!$B$3:$E$52,Uebersetzungen!$B$2+1,FALSE)</f>
        <v>St. Gallen</v>
      </c>
      <c r="B32" s="15">
        <v>325757.99999999488</v>
      </c>
      <c r="C32" s="22">
        <v>0.96199664693042841</v>
      </c>
      <c r="D32" s="23">
        <v>45785.406520915458</v>
      </c>
      <c r="E32" s="16">
        <v>5.0597968651036194</v>
      </c>
      <c r="F32" s="23">
        <v>279972.59347907943</v>
      </c>
      <c r="G32" s="37">
        <v>1.2505028938925822</v>
      </c>
    </row>
    <row r="33" spans="1:7" x14ac:dyDescent="0.2">
      <c r="A33" s="46" t="str">
        <f>VLOOKUP("&lt;Zeilentitel_19&gt;",Uebersetzungen!$B$3:$E$52,Uebersetzungen!$B$2+1,FALSE)</f>
        <v>Graubünden</v>
      </c>
      <c r="B33" s="18">
        <v>139204.00000000093</v>
      </c>
      <c r="C33" s="25">
        <v>1.2994587979741994</v>
      </c>
      <c r="D33" s="26">
        <v>16203.572896335099</v>
      </c>
      <c r="E33" s="19">
        <v>8.5549353017355276</v>
      </c>
      <c r="F33" s="26">
        <v>123000.42710366583</v>
      </c>
      <c r="G33" s="38">
        <v>1.7014982595890991</v>
      </c>
    </row>
    <row r="34" spans="1:7" x14ac:dyDescent="0.2">
      <c r="A34" s="45" t="str">
        <f>VLOOKUP("&lt;Zeilentitel_20&gt;",Uebersetzungen!$B$3:$E$52,Uebersetzungen!$B$2+1,FALSE)</f>
        <v>Aargau</v>
      </c>
      <c r="B34" s="15">
        <v>439060.00000000501</v>
      </c>
      <c r="C34" s="22">
        <v>0.58230823321187464</v>
      </c>
      <c r="D34" s="23">
        <v>73436.665365674518</v>
      </c>
      <c r="E34" s="16">
        <v>2.7589851353682988</v>
      </c>
      <c r="F34" s="23">
        <v>365623.33463433047</v>
      </c>
      <c r="G34" s="37">
        <v>0.78738550315892541</v>
      </c>
    </row>
    <row r="35" spans="1:7" x14ac:dyDescent="0.2">
      <c r="A35" s="45" t="str">
        <f>VLOOKUP("&lt;Zeilentitel_21&gt;",Uebersetzungen!$B$3:$E$52,Uebersetzungen!$B$2+1,FALSE)</f>
        <v>Thurgau</v>
      </c>
      <c r="B35" s="15">
        <v>177196.00000000026</v>
      </c>
      <c r="C35" s="22">
        <v>0.93640657578194486</v>
      </c>
      <c r="D35" s="23">
        <v>25323.693584725374</v>
      </c>
      <c r="E35" s="16">
        <v>4.7432359772519952</v>
      </c>
      <c r="F35" s="23">
        <v>151872.30641527488</v>
      </c>
      <c r="G35" s="37">
        <v>1.2093967912844914</v>
      </c>
    </row>
    <row r="36" spans="1:7" x14ac:dyDescent="0.2">
      <c r="A36" s="45" t="str">
        <f>VLOOKUP("&lt;Zeilentitel_22&gt;",Uebersetzungen!$B$3:$E$52,Uebersetzungen!$B$2+1,FALSE)</f>
        <v>Tessin</v>
      </c>
      <c r="B36" s="15">
        <v>217666.00000000361</v>
      </c>
      <c r="C36" s="22">
        <v>0.89387808616556541</v>
      </c>
      <c r="D36" s="23">
        <v>65475.208202280082</v>
      </c>
      <c r="E36" s="16">
        <v>2.7649394837956014</v>
      </c>
      <c r="F36" s="23">
        <v>152190.79179772353</v>
      </c>
      <c r="G36" s="37">
        <v>1.4244677773915919</v>
      </c>
    </row>
    <row r="37" spans="1:7" x14ac:dyDescent="0.2">
      <c r="A37" s="45" t="str">
        <f>VLOOKUP("&lt;Zeilentitel_23&gt;",Uebersetzungen!$B$3:$E$52,Uebersetzungen!$B$2+1,FALSE)</f>
        <v>Waadt</v>
      </c>
      <c r="B37" s="15">
        <v>459701.00000000931</v>
      </c>
      <c r="C37" s="22">
        <v>0.63999985606879128</v>
      </c>
      <c r="D37" s="23">
        <v>151339.83911490117</v>
      </c>
      <c r="E37" s="16">
        <v>1.8000487538636507</v>
      </c>
      <c r="F37" s="23">
        <v>308361.16088510811</v>
      </c>
      <c r="G37" s="37">
        <v>1.027430762150463</v>
      </c>
    </row>
    <row r="38" spans="1:7" x14ac:dyDescent="0.2">
      <c r="A38" s="45" t="str">
        <f>VLOOKUP("&lt;Zeilentitel_24&gt;",Uebersetzungen!$B$3:$E$52,Uebersetzungen!$B$2+1,FALSE)</f>
        <v>Wallis</v>
      </c>
      <c r="B38" s="15">
        <v>230638.00000000239</v>
      </c>
      <c r="C38" s="22">
        <v>1.0709587473489941</v>
      </c>
      <c r="D38" s="23">
        <v>41809.99111685816</v>
      </c>
      <c r="E38" s="16">
        <v>5.1255450944795751</v>
      </c>
      <c r="F38" s="23">
        <v>188828.00888314424</v>
      </c>
      <c r="G38" s="37">
        <v>1.5326304066620251</v>
      </c>
    </row>
    <row r="39" spans="1:7" x14ac:dyDescent="0.2">
      <c r="A39" s="45" t="str">
        <f>VLOOKUP("&lt;Zeilentitel_25&gt;",Uebersetzungen!$B$3:$E$52,Uebersetzungen!$B$2+1,FALSE)</f>
        <v>Neuenburg</v>
      </c>
      <c r="B39" s="15">
        <v>109822.99999999897</v>
      </c>
      <c r="C39" s="22">
        <v>1.1333158223455453</v>
      </c>
      <c r="D39" s="23">
        <v>29230.732518379624</v>
      </c>
      <c r="E39" s="16">
        <v>4.1188785976624018</v>
      </c>
      <c r="F39" s="23">
        <v>80592.267481619347</v>
      </c>
      <c r="G39" s="37">
        <v>1.8037863189329153</v>
      </c>
    </row>
    <row r="40" spans="1:7" x14ac:dyDescent="0.2">
      <c r="A40" s="45" t="str">
        <f>VLOOKUP("&lt;Zeilentitel_26&gt;",Uebersetzungen!$B$3:$E$52,Uebersetzungen!$B$2+1,FALSE)</f>
        <v>Genf</v>
      </c>
      <c r="B40" s="15">
        <v>247072.99999999662</v>
      </c>
      <c r="C40" s="22">
        <v>0.97325254337483191</v>
      </c>
      <c r="D40" s="23">
        <v>119222.51955313682</v>
      </c>
      <c r="E40" s="16">
        <v>1.9788022893584127</v>
      </c>
      <c r="F40" s="23">
        <v>127850.4804468598</v>
      </c>
      <c r="G40" s="37">
        <v>1.8420852459901893</v>
      </c>
    </row>
    <row r="41" spans="1:7" ht="13.5" thickBot="1" x14ac:dyDescent="0.25">
      <c r="A41" s="47" t="str">
        <f>VLOOKUP("&lt;Zeilentitel_27&gt;",Uebersetzungen!$B$3:$E$52,Uebersetzungen!$B$2+1,FALSE)</f>
        <v>Jura</v>
      </c>
      <c r="B41" s="39">
        <v>52397.999999999622</v>
      </c>
      <c r="C41" s="40">
        <v>1.8228580608493219</v>
      </c>
      <c r="D41" s="41">
        <v>7515.2161612136997</v>
      </c>
      <c r="E41" s="42">
        <v>12.273768485005736</v>
      </c>
      <c r="F41" s="41">
        <v>44882.783838785923</v>
      </c>
      <c r="G41" s="43">
        <v>2.7213351955359362</v>
      </c>
    </row>
    <row r="43" spans="1:7" x14ac:dyDescent="0.2">
      <c r="A43" s="35" t="str">
        <f>VLOOKUP("&lt;Legende_1&gt;",Uebersetzungen!$B$3:$E$52,Uebersetzungen!$B$2+1,FALSE)</f>
        <v>(): Extrapolation aufgrund von 49 oder weniger Beobachtungen. Die Resultate sind mit grosser Vorsicht zu interpretieren.</v>
      </c>
    </row>
    <row r="44" spans="1:7" x14ac:dyDescent="0.2">
      <c r="A44" s="35" t="str">
        <f>VLOOKUP("&lt;Legende_2&gt;",Uebersetzungen!$B$3:$E$52,Uebersetzungen!$B$2+1,FALSE)</f>
        <v>X: Extrapolation aufgrund von 4 oder weniger Beobachtungen. Die Resultate werden aus Gründen des Datenschutzes nicht publiziert.</v>
      </c>
    </row>
    <row r="45" spans="1:7" x14ac:dyDescent="0.2">
      <c r="A45" s="35" t="str">
        <f>VLOOKUP("&lt;Legende_3&gt;",Uebersetzungen!$B$3:$E$52,Uebersetzungen!$B$2+1,FALSE)</f>
        <v>Die Grundgesamtheit der Strukturerhebung enthält alle Personen der ständigen Wohnbevölkerung ab vollendetem 15. Altersjahr, die in Privathaushalten leben.</v>
      </c>
    </row>
    <row r="46" spans="1:7" x14ac:dyDescent="0.2">
      <c r="A46" s="35" t="str">
        <f>VLOOKUP("&lt;Legende_4&gt;",Uebersetzungen!$B$3:$E$52,Uebersetzungen!$B$2+1,FALSE)</f>
        <v>Aus der Grundgesamtheit ausgeschlossen wurden neben den Personen, die in Kollektivhaushalten leben, auch Diplomaten, internationale Funktionäre und deren Angehörige.</v>
      </c>
    </row>
    <row r="47" spans="1:7" x14ac:dyDescent="0.2">
      <c r="A47" s="7"/>
    </row>
    <row r="48" spans="1:7" x14ac:dyDescent="0.2">
      <c r="A48" s="7" t="str">
        <f>VLOOKUP("&lt;Quelle_1&gt;",Uebersetzungen!$B$3:$E$52,Uebersetzungen!$B$2+1,FALSE)</f>
        <v>Quelle: BFS (Strukturerhebung)</v>
      </c>
    </row>
    <row r="49" spans="1:7" x14ac:dyDescent="0.2">
      <c r="A49" s="35" t="str">
        <f>VLOOKUP("&lt;Aktualisierung&gt;",Uebersetzungen!$B$3:$E$52,Uebersetzungen!$B$2+1,FALSE)</f>
        <v>Letztmals aktualisiert am: 26.01.2024</v>
      </c>
    </row>
    <row r="50" spans="1:7" x14ac:dyDescent="0.2">
      <c r="B50" s="10"/>
      <c r="F50" s="10"/>
    </row>
    <row r="52" spans="1:7" x14ac:dyDescent="0.2">
      <c r="B52" s="11"/>
      <c r="F52" s="11"/>
    </row>
    <row r="53" spans="1:7" x14ac:dyDescent="0.2">
      <c r="F53" s="10"/>
      <c r="G53" s="10"/>
    </row>
  </sheetData>
  <sheetProtection sheet="1" objects="1" scenarios="1"/>
  <mergeCells count="6">
    <mergeCell ref="A13:A14"/>
    <mergeCell ref="B13:C13"/>
    <mergeCell ref="D13:E13"/>
    <mergeCell ref="F13:G13"/>
    <mergeCell ref="A7:D7"/>
    <mergeCell ref="B12:G1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133350</xdr:colOff>
                    <xdr:row>1</xdr:row>
                    <xdr:rowOff>133350</xdr:rowOff>
                  </from>
                  <to>
                    <xdr:col>8</xdr:col>
                    <xdr:colOff>342900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133350</xdr:colOff>
                    <xdr:row>2</xdr:row>
                    <xdr:rowOff>123825</xdr:rowOff>
                  </from>
                  <to>
                    <xdr:col>8</xdr:col>
                    <xdr:colOff>704850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133350</xdr:colOff>
                    <xdr:row>3</xdr:row>
                    <xdr:rowOff>85725</xdr:rowOff>
                  </from>
                  <to>
                    <xdr:col>8</xdr:col>
                    <xdr:colOff>342900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55"/>
  <sheetViews>
    <sheetView showGridLines="0" workbookViewId="0"/>
  </sheetViews>
  <sheetFormatPr baseColWidth="10" defaultRowHeight="12.75" x14ac:dyDescent="0.2"/>
  <cols>
    <col min="1" max="1" width="28.125" style="6" customWidth="1"/>
    <col min="2" max="2" width="22.125" style="6" customWidth="1"/>
    <col min="3" max="3" width="8.25" style="6" bestFit="1" customWidth="1"/>
    <col min="4" max="4" width="9.125" style="6" bestFit="1" customWidth="1"/>
    <col min="5" max="5" width="8.25" style="6" bestFit="1" customWidth="1"/>
    <col min="6" max="6" width="9.125" style="6" bestFit="1" customWidth="1"/>
    <col min="7" max="7" width="8.25" style="6" bestFit="1" customWidth="1"/>
    <col min="8" max="8" width="9.125" style="6" bestFit="1" customWidth="1"/>
    <col min="9" max="16384" width="11" style="6"/>
  </cols>
  <sheetData>
    <row r="1" spans="1:113" s="1" customFormat="1" x14ac:dyDescent="0.2"/>
    <row r="2" spans="1:113" s="1" customFormat="1" ht="15.75" x14ac:dyDescent="0.25">
      <c r="B2" s="2"/>
      <c r="C2" s="32"/>
      <c r="D2" s="32"/>
    </row>
    <row r="3" spans="1:113" s="1" customFormat="1" ht="15.75" x14ac:dyDescent="0.25">
      <c r="B3" s="2"/>
      <c r="C3" s="32"/>
      <c r="D3" s="32"/>
    </row>
    <row r="4" spans="1:113" s="1" customFormat="1" ht="15.75" x14ac:dyDescent="0.25">
      <c r="B4" s="2"/>
      <c r="C4" s="32"/>
      <c r="D4" s="32"/>
    </row>
    <row r="5" spans="1:113" s="1" customFormat="1" x14ac:dyDescent="0.2">
      <c r="DB5" s="33"/>
      <c r="DC5" s="33"/>
      <c r="DD5" s="33"/>
      <c r="DE5" s="33"/>
      <c r="DF5" s="33"/>
      <c r="DG5" s="33"/>
      <c r="DH5" s="33"/>
      <c r="DI5" s="33"/>
    </row>
    <row r="6" spans="1:113" s="1" customFormat="1" x14ac:dyDescent="0.2"/>
    <row r="7" spans="1:113" s="1" customFormat="1" ht="15.75" customHeight="1" x14ac:dyDescent="0.2">
      <c r="A7" s="84" t="str">
        <f>VLOOKUP("&lt;Fachbereich&gt;",Uebersetzungen!$B$3:$E$31,Uebersetzungen!$B$2+1,FALSE)</f>
        <v>Daten &amp; Statistik</v>
      </c>
      <c r="B7" s="84"/>
      <c r="C7" s="84"/>
      <c r="D7" s="84"/>
      <c r="E7" s="34"/>
      <c r="F7" s="34"/>
      <c r="G7" s="34"/>
      <c r="H7" s="34"/>
      <c r="I7" s="34"/>
    </row>
    <row r="8" spans="1:113" s="1" customFormat="1" x14ac:dyDescent="0.2"/>
    <row r="9" spans="1:113" ht="18" x14ac:dyDescent="0.2">
      <c r="A9" s="3" t="str">
        <f>VLOOKUP("&lt;T2Titel&gt;",Uebersetzungen!$B$3:$E$106,Uebersetzungen!$B$2+1,FALSE)</f>
        <v>Doppelbürgerschaft nach soziodemografischen Merkmalen im Kanton Graubünden</v>
      </c>
      <c r="B9" s="4"/>
      <c r="C9" s="5"/>
      <c r="D9" s="5"/>
      <c r="E9" s="5"/>
      <c r="F9" s="5"/>
      <c r="G9" s="5"/>
      <c r="H9" s="5"/>
    </row>
    <row r="10" spans="1:113" x14ac:dyDescent="0.2">
      <c r="A10" s="7" t="str">
        <f>VLOOKUP("&lt;T2UTitel&gt;",Uebersetzungen!$B$3:$E$106,Uebersetzungen!$B$2+1,FALSE)</f>
        <v>Ständige schweizerische Wohnbevölkerung ab 15 Jahren</v>
      </c>
      <c r="B10" s="4"/>
      <c r="C10" s="5"/>
      <c r="D10" s="5"/>
      <c r="E10" s="5"/>
      <c r="F10" s="5"/>
      <c r="G10" s="5"/>
      <c r="H10" s="5"/>
    </row>
    <row r="11" spans="1:113" ht="13.5" thickBot="1" x14ac:dyDescent="0.25">
      <c r="A11" s="7"/>
      <c r="B11" s="4"/>
      <c r="C11" s="5"/>
      <c r="D11" s="5"/>
      <c r="E11" s="5"/>
      <c r="F11" s="5"/>
      <c r="G11" s="5"/>
      <c r="H11" s="5"/>
    </row>
    <row r="12" spans="1:113" ht="18" x14ac:dyDescent="0.25">
      <c r="A12" s="8"/>
      <c r="B12" s="8"/>
      <c r="C12" s="93">
        <v>2022</v>
      </c>
      <c r="D12" s="94"/>
      <c r="E12" s="94"/>
      <c r="F12" s="94"/>
      <c r="G12" s="94"/>
      <c r="H12" s="95"/>
    </row>
    <row r="13" spans="1:113" ht="37.5" customHeight="1" x14ac:dyDescent="0.2">
      <c r="B13" s="88"/>
      <c r="C13" s="90" t="str">
        <f>VLOOKUP("&lt;SpaltenTitel_1&gt;",Uebersetzungen!$B$3:$E$31,Uebersetzungen!$B$2+1,FALSE)</f>
        <v>Total</v>
      </c>
      <c r="D13" s="91"/>
      <c r="E13" s="91" t="str">
        <f>VLOOKUP("&lt;SpaltenTitel_2&gt;",Uebersetzungen!$B$3:$E$31,Uebersetzungen!$B$2+1,FALSE)</f>
        <v>Schweizer mit weiterer Staatsangehörigkeit</v>
      </c>
      <c r="F13" s="91"/>
      <c r="G13" s="91" t="str">
        <f>VLOOKUP("&lt;SpaltenTitel_3&gt;",Uebersetzungen!$B$3:$E$31,Uebersetzungen!$B$2+1,FALSE)</f>
        <v>Schweizer ohne weitere Staatsangehörigkeit</v>
      </c>
      <c r="H13" s="92"/>
    </row>
    <row r="14" spans="1:113" ht="39" thickBot="1" x14ac:dyDescent="0.25">
      <c r="B14" s="89"/>
      <c r="C14" s="59" t="str">
        <f>VLOOKUP("&lt;SpaltenTitel_1.1&gt;",Uebersetzungen!$B$3:$E$31,Uebersetzungen!$B$2+1,FALSE)</f>
        <v>Anzahl Personen</v>
      </c>
      <c r="D14" s="60" t="str">
        <f>VLOOKUP("&lt;SpaltenTitel_1.2&gt;",Uebersetzungen!$B$3:$E$31,Uebersetzungen!$B$2+1,FALSE)</f>
        <v>Vertrauens- intervall: ± (in %)</v>
      </c>
      <c r="E14" s="60" t="str">
        <f>VLOOKUP("&lt;SpaltenTitel_2.1&gt;",Uebersetzungen!$B$3:$E$31,Uebersetzungen!$B$2+1,FALSE)</f>
        <v>Anzahl Personen</v>
      </c>
      <c r="F14" s="60" t="str">
        <f>VLOOKUP("&lt;SpaltenTitel_2.2&gt;",Uebersetzungen!$B$3:$E$31,Uebersetzungen!$B$2+1,FALSE)</f>
        <v>Vertrauens- intervall: ± (in %)</v>
      </c>
      <c r="G14" s="60" t="str">
        <f>VLOOKUP("&lt;SpaltenTitel_3.1&gt;",Uebersetzungen!$B$3:$E$31,Uebersetzungen!$B$2+1,FALSE)</f>
        <v>Anzahl Personen</v>
      </c>
      <c r="H14" s="61" t="str">
        <f>VLOOKUP("&lt;SpaltenTitel_3.2&gt;",Uebersetzungen!$B$3:$E$31,Uebersetzungen!$B$2+1,FALSE)</f>
        <v>Vertrauens- intervall: ± (in %)</v>
      </c>
    </row>
    <row r="15" spans="1:113" ht="14.25" customHeight="1" x14ac:dyDescent="0.2">
      <c r="A15" s="66" t="str">
        <f>VLOOKUP("&lt;T2Zeilentitel_1&gt;",Uebersetzungen!$B$3:$E$98,Uebersetzungen!$B$2+1,FALSE)</f>
        <v>Total</v>
      </c>
      <c r="B15" s="67"/>
      <c r="C15" s="13">
        <v>139204.00000000064</v>
      </c>
      <c r="D15" s="20">
        <v>1.2994587979742229</v>
      </c>
      <c r="E15" s="21">
        <v>16203.572896335099</v>
      </c>
      <c r="F15" s="14">
        <v>8.5549353017355276</v>
      </c>
      <c r="G15" s="21">
        <v>123000.42710366556</v>
      </c>
      <c r="H15" s="36">
        <v>1.7014982595891266</v>
      </c>
    </row>
    <row r="16" spans="1:113" x14ac:dyDescent="0.2">
      <c r="A16" s="68" t="str">
        <f>VLOOKUP("&lt;T2Zeilentitel_2&gt;",Uebersetzungen!$B$3:$E$98,Uebersetzungen!$B$2+1,FALSE)</f>
        <v>Geschlecht</v>
      </c>
      <c r="B16" s="12" t="str">
        <f>VLOOKUP("&lt;T2Zeilentitel_2.1&gt;",Uebersetzungen!$B$3:$E$98,Uebersetzungen!$B$2+1,FALSE)</f>
        <v>Männer</v>
      </c>
      <c r="C16" s="27">
        <v>68159.00000000099</v>
      </c>
      <c r="D16" s="22">
        <v>3.3864134909443391</v>
      </c>
      <c r="E16" s="29">
        <v>7685.2476342250366</v>
      </c>
      <c r="F16" s="16">
        <v>12.853299384476294</v>
      </c>
      <c r="G16" s="29">
        <v>60473.752365775959</v>
      </c>
      <c r="H16" s="37">
        <v>3.7190456778062271</v>
      </c>
      <c r="K16" s="31"/>
    </row>
    <row r="17" spans="1:11" x14ac:dyDescent="0.2">
      <c r="A17" s="69"/>
      <c r="B17" s="9" t="str">
        <f>VLOOKUP("&lt;T2Zeilentitel_2.2&gt;",Uebersetzungen!$B$3:$E$98,Uebersetzungen!$B$2+1,FALSE)</f>
        <v>Frauen</v>
      </c>
      <c r="C17" s="27">
        <v>71044.999999999665</v>
      </c>
      <c r="D17" s="22">
        <v>3.2419899913736923</v>
      </c>
      <c r="E17" s="29">
        <v>8518.3252621100637</v>
      </c>
      <c r="F17" s="16">
        <v>12.002402026021816</v>
      </c>
      <c r="G17" s="29">
        <v>62526.674737889596</v>
      </c>
      <c r="H17" s="37">
        <v>3.6008975822251519</v>
      </c>
      <c r="K17" s="31"/>
    </row>
    <row r="18" spans="1:11" x14ac:dyDescent="0.2">
      <c r="A18" s="70" t="str">
        <f>VLOOKUP("&lt;T2Zeilentitel_3&gt;",Uebersetzungen!$B$3:$E$98,Uebersetzungen!$B$2+1,FALSE)</f>
        <v>Alter</v>
      </c>
      <c r="B18" s="62" t="str">
        <f>VLOOKUP("&lt;T2Zeilentitel_3.1&gt;",Uebersetzungen!$B$3:$E$98,Uebersetzungen!$B$2+1,FALSE)</f>
        <v>15-19</v>
      </c>
      <c r="C18" s="15">
        <v>7737.3289733673264</v>
      </c>
      <c r="D18" s="22">
        <v>12.428774176706419</v>
      </c>
      <c r="E18" s="24">
        <v>1468.8384967598354</v>
      </c>
      <c r="F18" s="17">
        <v>29.033128711912237</v>
      </c>
      <c r="G18" s="23">
        <v>6268.4904766074915</v>
      </c>
      <c r="H18" s="37">
        <v>13.879092157047925</v>
      </c>
      <c r="K18" s="31"/>
    </row>
    <row r="19" spans="1:11" x14ac:dyDescent="0.2">
      <c r="A19" s="71"/>
      <c r="B19" s="9" t="str">
        <f>VLOOKUP("&lt;T2Zeilentitel_3.2&gt;",Uebersetzungen!$B$3:$E$98,Uebersetzungen!$B$2+1,FALSE)</f>
        <v>20-39</v>
      </c>
      <c r="C19" s="15">
        <v>34729.104754721207</v>
      </c>
      <c r="D19" s="22">
        <v>5.6364911299671929</v>
      </c>
      <c r="E19" s="23">
        <v>4730.9542258470356</v>
      </c>
      <c r="F19" s="16">
        <v>16.878172932377787</v>
      </c>
      <c r="G19" s="23">
        <v>29998.150528874176</v>
      </c>
      <c r="H19" s="37">
        <v>6.1557193172547819</v>
      </c>
      <c r="K19" s="31"/>
    </row>
    <row r="20" spans="1:11" x14ac:dyDescent="0.2">
      <c r="A20" s="72"/>
      <c r="B20" s="9" t="str">
        <f>VLOOKUP("&lt;T2Zeilentitel_3.3&gt;",Uebersetzungen!$B$3:$E$98,Uebersetzungen!$B$2+1,FALSE)</f>
        <v>40-64</v>
      </c>
      <c r="C20" s="15">
        <v>55771.888078908727</v>
      </c>
      <c r="D20" s="22">
        <v>3.9766933395357693</v>
      </c>
      <c r="E20" s="23">
        <v>7057.3353402164194</v>
      </c>
      <c r="F20" s="16">
        <v>13.325024658286358</v>
      </c>
      <c r="G20" s="23">
        <v>48714.552738692306</v>
      </c>
      <c r="H20" s="37">
        <v>4.3821894021096028</v>
      </c>
      <c r="K20" s="31"/>
    </row>
    <row r="21" spans="1:11" x14ac:dyDescent="0.2">
      <c r="A21" s="72"/>
      <c r="B21" s="9" t="str">
        <f>VLOOKUP("&lt;T2Zeilentitel_3.4&gt;",Uebersetzungen!$B$3:$E$98,Uebersetzungen!$B$2+1,FALSE)</f>
        <v>65-79</v>
      </c>
      <c r="C21" s="15">
        <v>31990.029176204567</v>
      </c>
      <c r="D21" s="22">
        <v>5.4848459020906812</v>
      </c>
      <c r="E21" s="23">
        <v>2507.4834557679997</v>
      </c>
      <c r="F21" s="16">
        <v>21.865065900422529</v>
      </c>
      <c r="G21" s="23">
        <v>29482.545720436567</v>
      </c>
      <c r="H21" s="37">
        <v>5.7665353755473143</v>
      </c>
      <c r="K21" s="31"/>
    </row>
    <row r="22" spans="1:11" x14ac:dyDescent="0.2">
      <c r="A22" s="72"/>
      <c r="B22" s="9" t="str">
        <f>VLOOKUP("&lt;T2Zeilentitel_3.5&gt;",Uebersetzungen!$B$3:$E$98,Uebersetzungen!$B$2+1,FALSE)</f>
        <v>80 und älter</v>
      </c>
      <c r="C22" s="15">
        <v>8975.6490167990505</v>
      </c>
      <c r="D22" s="22">
        <v>11.578513768385347</v>
      </c>
      <c r="E22" s="24">
        <v>438.9613777438102</v>
      </c>
      <c r="F22" s="17">
        <v>53.568635934433665</v>
      </c>
      <c r="G22" s="23">
        <v>8536.6876390552407</v>
      </c>
      <c r="H22" s="37">
        <v>11.891076781820013</v>
      </c>
    </row>
    <row r="23" spans="1:11" x14ac:dyDescent="0.2">
      <c r="A23" s="68" t="str">
        <f>VLOOKUP("&lt;T2Zeilentitel_4&gt;",Uebersetzungen!$B$3:$E$98,Uebersetzungen!$B$2+1,FALSE)</f>
        <v>Geburtsort</v>
      </c>
      <c r="B23" s="12" t="str">
        <f>VLOOKUP("&lt;T2Zeilentitel_4.1&gt;",Uebersetzungen!$B$3:$E$98,Uebersetzungen!$B$2+1,FALSE)</f>
        <v>In der Schweiz</v>
      </c>
      <c r="C23" s="15">
        <v>126679.83288790155</v>
      </c>
      <c r="D23" s="22">
        <v>1.6142448998103684</v>
      </c>
      <c r="E23" s="23">
        <v>8386.4753828077301</v>
      </c>
      <c r="F23" s="16">
        <v>12.247276625697058</v>
      </c>
      <c r="G23" s="23">
        <v>118293.35750509382</v>
      </c>
      <c r="H23" s="37">
        <v>1.8199128035542542</v>
      </c>
    </row>
    <row r="24" spans="1:11" x14ac:dyDescent="0.2">
      <c r="A24" s="69"/>
      <c r="B24" s="9" t="str">
        <f>VLOOKUP("&lt;T2Zeilentitel_4.2&gt;",Uebersetzungen!$B$3:$E$98,Uebersetzungen!$B$2+1,FALSE)</f>
        <v>Im Ausland</v>
      </c>
      <c r="C24" s="15">
        <v>12524.167112099287</v>
      </c>
      <c r="D24" s="22">
        <v>9.7855979850763148</v>
      </c>
      <c r="E24" s="23">
        <v>7817.097513527372</v>
      </c>
      <c r="F24" s="16">
        <v>12.574741358148181</v>
      </c>
      <c r="G24" s="23">
        <v>4707.0695985719158</v>
      </c>
      <c r="H24" s="37">
        <v>16.341665828277794</v>
      </c>
    </row>
    <row r="25" spans="1:11" x14ac:dyDescent="0.2">
      <c r="A25" s="70" t="str">
        <f>VLOOKUP("&lt;T2Zeilentitel_5&gt;",Uebersetzungen!$B$3:$E$98,Uebersetzungen!$B$2+1,FALSE)</f>
        <v>Einbürgerung</v>
      </c>
      <c r="B25" s="12" t="str">
        <f>VLOOKUP("&lt;T2Zeilentitel_5.1&gt;",Uebersetzungen!$B$3:$E$98,Uebersetzungen!$B$2+1,FALSE)</f>
        <v>Eingebürgert</v>
      </c>
      <c r="C25" s="15">
        <v>14717.336975077891</v>
      </c>
      <c r="D25" s="22">
        <v>8.9620278404651597</v>
      </c>
      <c r="E25" s="23">
        <v>9317.5491921226767</v>
      </c>
      <c r="F25" s="16">
        <v>11.460836795726111</v>
      </c>
      <c r="G25" s="23">
        <v>5399.7877829552135</v>
      </c>
      <c r="H25" s="37">
        <v>15.224338543482252</v>
      </c>
    </row>
    <row r="26" spans="1:11" x14ac:dyDescent="0.2">
      <c r="A26" s="72"/>
      <c r="B26" s="9" t="str">
        <f>VLOOKUP("&lt;T2Zeilentitel_5.2&gt;",Uebersetzungen!$B$3:$E$98,Uebersetzungen!$B$2+1,FALSE)</f>
        <v>Nicht eingebürgert</v>
      </c>
      <c r="C26" s="15">
        <v>124486.66302492292</v>
      </c>
      <c r="D26" s="22">
        <v>1.6690990099067868</v>
      </c>
      <c r="E26" s="23">
        <v>6886.0237042124254</v>
      </c>
      <c r="F26" s="16">
        <v>13.613293956166451</v>
      </c>
      <c r="G26" s="23">
        <v>117600.6393207105</v>
      </c>
      <c r="H26" s="37">
        <v>1.8374812496068345</v>
      </c>
    </row>
    <row r="27" spans="1:11" x14ac:dyDescent="0.2">
      <c r="A27" s="68" t="str">
        <f>VLOOKUP("&lt;T2Zeilentitel_6&gt;",Uebersetzungen!$B$3:$E$98,Uebersetzungen!$B$2+1,FALSE)</f>
        <v>Arbeitsmarktstatus</v>
      </c>
      <c r="B27" s="12" t="str">
        <f>VLOOKUP("&lt;T2Zeilentitel_6.1&gt;",Uebersetzungen!$B$3:$E$98,Uebersetzungen!$B$2+1,FALSE)</f>
        <v>Erwerbstätige</v>
      </c>
      <c r="C27" s="15">
        <v>82533.454274684555</v>
      </c>
      <c r="D27" s="22">
        <v>2.8833812738239377</v>
      </c>
      <c r="E27" s="23">
        <v>10368.842318387051</v>
      </c>
      <c r="F27" s="16">
        <v>10.948826331595336</v>
      </c>
      <c r="G27" s="23">
        <v>72164.611956297507</v>
      </c>
      <c r="H27" s="37">
        <v>3.2532803951215881</v>
      </c>
    </row>
    <row r="28" spans="1:11" x14ac:dyDescent="0.2">
      <c r="A28" s="72"/>
      <c r="B28" s="9" t="str">
        <f>VLOOKUP("&lt;T2Zeilentitel_6.2&gt;",Uebersetzungen!$B$3:$E$98,Uebersetzungen!$B$2+1,FALSE)</f>
        <v>Erwerbslose</v>
      </c>
      <c r="C28" s="28">
        <v>1200.1802272469922</v>
      </c>
      <c r="D28" s="30">
        <v>33.894030002837404</v>
      </c>
      <c r="E28" s="24" t="s">
        <v>301</v>
      </c>
      <c r="F28" s="17" t="s">
        <v>301</v>
      </c>
      <c r="G28" s="24">
        <v>1062.7339925750537</v>
      </c>
      <c r="H28" s="73">
        <v>36.031776382454574</v>
      </c>
    </row>
    <row r="29" spans="1:11" x14ac:dyDescent="0.2">
      <c r="A29" s="69"/>
      <c r="B29" s="9" t="str">
        <f>VLOOKUP("&lt;T2Zeilentitel_6.3&gt;",Uebersetzungen!$B$3:$E$98,Uebersetzungen!$B$2+1,FALSE)</f>
        <v>Nichterwerbspersonen</v>
      </c>
      <c r="C29" s="15">
        <v>55470.365498069106</v>
      </c>
      <c r="D29" s="22">
        <v>3.8891554301733642</v>
      </c>
      <c r="E29" s="23">
        <v>5697.2843432761047</v>
      </c>
      <c r="F29" s="16">
        <v>14.756553527103636</v>
      </c>
      <c r="G29" s="23">
        <v>49773.081154792999</v>
      </c>
      <c r="H29" s="37">
        <v>4.2039503701738665</v>
      </c>
    </row>
    <row r="30" spans="1:11" x14ac:dyDescent="0.2">
      <c r="A30" s="70" t="str">
        <f>VLOOKUP("&lt;T2Zeilentitel_7&gt;",Uebersetzungen!$B$3:$E$98,Uebersetzungen!$B$2+1,FALSE)</f>
        <v>Sozioprofessionelle Kategorien</v>
      </c>
      <c r="B30" s="12" t="str">
        <f>VLOOKUP("&lt;T2Zeilentitel_7.1&gt;",Uebersetzungen!$B$3:$E$98,Uebersetzungen!$B$2+1,FALSE)</f>
        <v>Oberstes Management</v>
      </c>
      <c r="C30" s="15">
        <v>2449.474896032099</v>
      </c>
      <c r="D30" s="22">
        <v>22.472791213577054</v>
      </c>
      <c r="E30" s="24">
        <v>333.18262126429318</v>
      </c>
      <c r="F30" s="17">
        <v>61.0743395428998</v>
      </c>
      <c r="G30" s="24">
        <v>2116.2922747678058</v>
      </c>
      <c r="H30" s="73">
        <v>24.217797412737518</v>
      </c>
    </row>
    <row r="31" spans="1:11" ht="25.5" x14ac:dyDescent="0.2">
      <c r="A31" s="71"/>
      <c r="B31" s="9" t="str">
        <f>VLOOKUP("&lt;T2Zeilentitel_7.2&gt;",Uebersetzungen!$B$3:$E$98,Uebersetzungen!$B$2+1,FALSE)</f>
        <v>Freie und gleichgestellte Berufe</v>
      </c>
      <c r="C31" s="15">
        <v>2228.0953577755645</v>
      </c>
      <c r="D31" s="22">
        <v>23.67683509886983</v>
      </c>
      <c r="E31" s="24">
        <v>301.40862538106256</v>
      </c>
      <c r="F31" s="17">
        <v>64.496740591542562</v>
      </c>
      <c r="G31" s="23">
        <v>1926.6867323945019</v>
      </c>
      <c r="H31" s="37">
        <v>25.500642824573667</v>
      </c>
    </row>
    <row r="32" spans="1:11" x14ac:dyDescent="0.2">
      <c r="A32" s="72"/>
      <c r="B32" s="9" t="str">
        <f>VLOOKUP("&lt;T2Zeilentitel_7.3&gt;",Uebersetzungen!$B$3:$E$98,Uebersetzungen!$B$2+1,FALSE)</f>
        <v>Andere Selbstständige</v>
      </c>
      <c r="C32" s="15">
        <v>10963.329708011624</v>
      </c>
      <c r="D32" s="22">
        <v>10.696494627081018</v>
      </c>
      <c r="E32" s="24">
        <v>994.61892479601988</v>
      </c>
      <c r="F32" s="17">
        <v>36.509964003385754</v>
      </c>
      <c r="G32" s="23">
        <v>9968.7107832156053</v>
      </c>
      <c r="H32" s="37">
        <v>11.253099971855505</v>
      </c>
    </row>
    <row r="33" spans="1:12" ht="25.5" x14ac:dyDescent="0.2">
      <c r="A33" s="72"/>
      <c r="B33" s="9" t="str">
        <f>VLOOKUP("&lt;T2Zeilentitel_7.4&gt;",Uebersetzungen!$B$3:$E$98,Uebersetzungen!$B$2+1,FALSE)</f>
        <v>Akademische Berufe und oberes Kader</v>
      </c>
      <c r="C33" s="15">
        <v>11899.379044021516</v>
      </c>
      <c r="D33" s="22">
        <v>9.9821400550350781</v>
      </c>
      <c r="E33" s="24">
        <v>1781.7002441115976</v>
      </c>
      <c r="F33" s="17">
        <v>26.721246712721374</v>
      </c>
      <c r="G33" s="23">
        <v>10117.678799909918</v>
      </c>
      <c r="H33" s="37">
        <v>10.879405398658088</v>
      </c>
    </row>
    <row r="34" spans="1:12" x14ac:dyDescent="0.2">
      <c r="A34" s="72"/>
      <c r="B34" s="9" t="str">
        <f>VLOOKUP("&lt;T2Zeilentitel_7.5&gt;",Uebersetzungen!$B$3:$E$98,Uebersetzungen!$B$2+1,FALSE)</f>
        <v>Intermediäre Berufe</v>
      </c>
      <c r="C34" s="15">
        <v>24196.804869716289</v>
      </c>
      <c r="D34" s="22">
        <v>6.8146480062664212</v>
      </c>
      <c r="E34" s="23">
        <v>2994.8147038500183</v>
      </c>
      <c r="F34" s="16">
        <v>20.879410817959911</v>
      </c>
      <c r="G34" s="23">
        <v>21201.990165866271</v>
      </c>
      <c r="H34" s="37">
        <v>7.3439942600643988</v>
      </c>
    </row>
    <row r="35" spans="1:12" ht="25.5" x14ac:dyDescent="0.2">
      <c r="A35" s="72"/>
      <c r="B35" s="9" t="str">
        <f>VLOOKUP("&lt;T2Zeilentitel_7.6&gt;",Uebersetzungen!$B$3:$E$98,Uebersetzungen!$B$2+1,FALSE)</f>
        <v>Qualifizierte nichtmanuelle Berufe</v>
      </c>
      <c r="C35" s="15">
        <v>16482.271789901723</v>
      </c>
      <c r="D35" s="22">
        <v>8.5334277971807442</v>
      </c>
      <c r="E35" s="23">
        <v>2026.7374418702539</v>
      </c>
      <c r="F35" s="16">
        <v>25.509582992903429</v>
      </c>
      <c r="G35" s="23">
        <v>14455.53434803147</v>
      </c>
      <c r="H35" s="37">
        <v>9.1656643366529096</v>
      </c>
    </row>
    <row r="36" spans="1:12" x14ac:dyDescent="0.2">
      <c r="A36" s="72"/>
      <c r="B36" s="9" t="str">
        <f>VLOOKUP("&lt;T2Zeilentitel_7.7&gt;",Uebersetzungen!$B$3:$E$98,Uebersetzungen!$B$2+1,FALSE)</f>
        <v>Qualifizierte manuelle Berufe</v>
      </c>
      <c r="C36" s="15">
        <v>7222.3704884101862</v>
      </c>
      <c r="D36" s="22">
        <v>13.431686196088735</v>
      </c>
      <c r="E36" s="24">
        <v>597.96970921436127</v>
      </c>
      <c r="F36" s="17">
        <v>48.410874065127466</v>
      </c>
      <c r="G36" s="23">
        <v>6624.4007791958247</v>
      </c>
      <c r="H36" s="37">
        <v>14.025918019773652</v>
      </c>
    </row>
    <row r="37" spans="1:12" ht="25.5" x14ac:dyDescent="0.2">
      <c r="A37" s="72"/>
      <c r="B37" s="9" t="str">
        <f>VLOOKUP("&lt;T2Zeilentitel_7.8&gt;",Uebersetzungen!$B$3:$E$98,Uebersetzungen!$B$2+1,FALSE)</f>
        <v>Ungelernte Angestellte und Arbeiter</v>
      </c>
      <c r="C37" s="15">
        <v>2872.2110420886361</v>
      </c>
      <c r="D37" s="22">
        <v>21.362734751892045</v>
      </c>
      <c r="E37" s="24">
        <v>569.17129683797691</v>
      </c>
      <c r="F37" s="17">
        <v>48.313530803410863</v>
      </c>
      <c r="G37" s="23">
        <v>2303.0397452506591</v>
      </c>
      <c r="H37" s="37">
        <v>23.895634115412609</v>
      </c>
    </row>
    <row r="38" spans="1:12" ht="25.5" customHeight="1" x14ac:dyDescent="0.2">
      <c r="A38" s="72"/>
      <c r="B38" s="9" t="str">
        <f>VLOOKUP("&lt;T2Zeilentitel_7.9&gt;",Uebersetzungen!$B$3:$E$98,Uebersetzungen!$B$2+1,FALSE)</f>
        <v>Lernende in dualer beruflicher Grundbildung (Lehrlinge)</v>
      </c>
      <c r="C38" s="15">
        <v>2686.1998440687566</v>
      </c>
      <c r="D38" s="22">
        <v>21.77939383930352</v>
      </c>
      <c r="E38" s="24">
        <v>627.96124698015694</v>
      </c>
      <c r="F38" s="17">
        <v>45.689393498220198</v>
      </c>
      <c r="G38" s="23">
        <v>2058.2385970885998</v>
      </c>
      <c r="H38" s="37">
        <v>24.864809912000954</v>
      </c>
    </row>
    <row r="39" spans="1:12" ht="51" x14ac:dyDescent="0.2">
      <c r="A39" s="72"/>
      <c r="B39" s="9" t="str">
        <f>VLOOKUP("&lt;T2Zeilentitel_7.10&gt;",Uebersetzungen!$B$3:$E$98,Uebersetzungen!$B$2+1,FALSE)</f>
        <v>Nicht zuteilbare Erwerbstätige (fehlende oder unklare Basisdaten oder unplausible Kombination)</v>
      </c>
      <c r="C39" s="28">
        <v>1533.3172346582987</v>
      </c>
      <c r="D39" s="30">
        <v>29.447480264124163</v>
      </c>
      <c r="E39" s="23" t="s">
        <v>301</v>
      </c>
      <c r="F39" s="16" t="s">
        <v>301</v>
      </c>
      <c r="G39" s="24">
        <v>1392.0397305769811</v>
      </c>
      <c r="H39" s="73">
        <v>30.938955588991355</v>
      </c>
    </row>
    <row r="40" spans="1:12" ht="25.5" x14ac:dyDescent="0.2">
      <c r="A40" s="72"/>
      <c r="B40" s="9" t="str">
        <f>VLOOKUP("&lt;T2Zeilentitel_7.11&gt;",Uebersetzungen!$B$3:$E$98,Uebersetzungen!$B$2+1,FALSE)</f>
        <v>Erwerbslose und Nichterwerbspersonen</v>
      </c>
      <c r="C40" s="15">
        <v>56670.545725316086</v>
      </c>
      <c r="D40" s="22">
        <v>3.8329901127165886</v>
      </c>
      <c r="E40" s="23">
        <v>5834.730577948043</v>
      </c>
      <c r="F40" s="16">
        <v>14.590051907485583</v>
      </c>
      <c r="G40" s="23">
        <v>50835.815147368041</v>
      </c>
      <c r="H40" s="37">
        <v>4.1470792485636352</v>
      </c>
    </row>
    <row r="41" spans="1:12" ht="25.5" x14ac:dyDescent="0.2">
      <c r="A41" s="68" t="str">
        <f>VLOOKUP("&lt;T2Zeilentitel_8&gt;",Uebersetzungen!$B$3:$E$98,Uebersetzungen!$B$2+1,FALSE)</f>
        <v>Höchste abgeschlossene Ausbildung</v>
      </c>
      <c r="B41" s="12" t="str">
        <f>VLOOKUP("&lt;T2Zeilentitel_8.1&gt;",Uebersetzungen!$B$3:$E$98,Uebersetzungen!$B$2+1,FALSE)</f>
        <v>Obligatorische Schule</v>
      </c>
      <c r="C41" s="15">
        <v>23615.765100263328</v>
      </c>
      <c r="D41" s="22">
        <v>6.8183494805477736</v>
      </c>
      <c r="E41" s="23">
        <v>3684.5001329987276</v>
      </c>
      <c r="F41" s="16">
        <v>18.43390198226821</v>
      </c>
      <c r="G41" s="23">
        <v>19931.2649672646</v>
      </c>
      <c r="H41" s="37">
        <v>7.5142792512316392</v>
      </c>
    </row>
    <row r="42" spans="1:12" x14ac:dyDescent="0.2">
      <c r="A42" s="72"/>
      <c r="B42" s="9" t="str">
        <f>VLOOKUP("&lt;T2Zeilentitel_8.2&gt;",Uebersetzungen!$B$3:$E$98,Uebersetzungen!$B$2+1,FALSE)</f>
        <v>Sekundarstufe II</v>
      </c>
      <c r="C42" s="15">
        <v>67456.800834051188</v>
      </c>
      <c r="D42" s="22">
        <v>3.4310190728058694</v>
      </c>
      <c r="E42" s="23">
        <v>7034.4107432905876</v>
      </c>
      <c r="F42" s="16">
        <v>13.538650468931042</v>
      </c>
      <c r="G42" s="23">
        <v>60422.390090760593</v>
      </c>
      <c r="H42" s="37">
        <v>3.7360015595026455</v>
      </c>
      <c r="L42" s="31"/>
    </row>
    <row r="43" spans="1:12" ht="13.5" thickBot="1" x14ac:dyDescent="0.25">
      <c r="A43" s="74"/>
      <c r="B43" s="75" t="str">
        <f>VLOOKUP("&lt;T2Zeilentitel_8.3&gt;",Uebersetzungen!$B$3:$E$98,Uebersetzungen!$B$2+1,FALSE)</f>
        <v>Tertiärstufe</v>
      </c>
      <c r="C43" s="39">
        <v>48131.434065686291</v>
      </c>
      <c r="D43" s="40">
        <v>4.3615926929348854</v>
      </c>
      <c r="E43" s="41">
        <v>5484.6620200457874</v>
      </c>
      <c r="F43" s="42">
        <v>15.057311501646854</v>
      </c>
      <c r="G43" s="41">
        <v>42646.772045640508</v>
      </c>
      <c r="H43" s="43">
        <v>4.736682208223681</v>
      </c>
    </row>
    <row r="44" spans="1:12" x14ac:dyDescent="0.2">
      <c r="A44" s="62"/>
      <c r="B44" s="52"/>
      <c r="C44" s="63"/>
      <c r="D44" s="64"/>
      <c r="E44" s="63"/>
      <c r="F44" s="64"/>
      <c r="G44" s="65"/>
      <c r="H44" s="64"/>
    </row>
    <row r="45" spans="1:12" x14ac:dyDescent="0.2">
      <c r="A45" s="35" t="str">
        <f>VLOOKUP("&lt;Legende_1&gt;",Uebersetzungen!$B$3:$E$52,Uebersetzungen!$B$2+1,FALSE)</f>
        <v>(): Extrapolation aufgrund von 49 oder weniger Beobachtungen. Die Resultate sind mit grosser Vorsicht zu interpretieren.</v>
      </c>
    </row>
    <row r="46" spans="1:12" x14ac:dyDescent="0.2">
      <c r="A46" s="35" t="str">
        <f>VLOOKUP("&lt;Legende_2&gt;",Uebersetzungen!$B$3:$E$52,Uebersetzungen!$B$2+1,FALSE)</f>
        <v>X: Extrapolation aufgrund von 4 oder weniger Beobachtungen. Die Resultate werden aus Gründen des Datenschutzes nicht publiziert.</v>
      </c>
    </row>
    <row r="47" spans="1:12" x14ac:dyDescent="0.2">
      <c r="A47" s="35" t="str">
        <f>VLOOKUP("&lt;Legende_3&gt;",Uebersetzungen!$B$3:$E$52,Uebersetzungen!$B$2+1,FALSE)</f>
        <v>Die Grundgesamtheit der Strukturerhebung enthält alle Personen der ständigen Wohnbevölkerung ab vollendetem 15. Altersjahr, die in Privathaushalten leben.</v>
      </c>
    </row>
    <row r="48" spans="1:12" x14ac:dyDescent="0.2">
      <c r="A48" s="35" t="str">
        <f>VLOOKUP("&lt;Legende_4&gt;",Uebersetzungen!$B$3:$E$52,Uebersetzungen!$B$2+1,FALSE)</f>
        <v>Aus der Grundgesamtheit ausgeschlossen wurden neben den Personen, die in Kollektivhaushalten leben, auch Diplomaten, internationale Funktionäre und deren Angehörige.</v>
      </c>
    </row>
    <row r="49" spans="1:8" x14ac:dyDescent="0.2">
      <c r="A49" s="7"/>
    </row>
    <row r="50" spans="1:8" x14ac:dyDescent="0.2">
      <c r="A50" s="7" t="str">
        <f>VLOOKUP("&lt;Quelle_1&gt;",Uebersetzungen!$B$3:$E$98,Uebersetzungen!$B$2+1,FALSE)</f>
        <v>Quelle: BFS (Strukturerhebung)</v>
      </c>
    </row>
    <row r="51" spans="1:8" x14ac:dyDescent="0.2">
      <c r="A51" s="6" t="str">
        <f>VLOOKUP("&lt;T2Aktualisierung&gt;",Uebersetzungen!$B$3:$E$98,Uebersetzungen!$B$2+1,FALSE)</f>
        <v>Letztmals aktualisiert am: 26.01.2024</v>
      </c>
    </row>
    <row r="52" spans="1:8" x14ac:dyDescent="0.2">
      <c r="B52" s="10"/>
      <c r="F52" s="10"/>
    </row>
    <row r="54" spans="1:8" x14ac:dyDescent="0.2">
      <c r="B54" s="11"/>
      <c r="F54" s="11"/>
    </row>
    <row r="55" spans="1:8" x14ac:dyDescent="0.2">
      <c r="F55" s="10"/>
      <c r="G55" s="10"/>
      <c r="H55" s="10"/>
    </row>
  </sheetData>
  <sheetProtection sheet="1" objects="1" scenarios="1"/>
  <mergeCells count="6">
    <mergeCell ref="A7:D7"/>
    <mergeCell ref="B13:B14"/>
    <mergeCell ref="C13:D13"/>
    <mergeCell ref="E13:F13"/>
    <mergeCell ref="G13:H13"/>
    <mergeCell ref="C12:H12"/>
  </mergeCells>
  <pageMargins left="0.7" right="0.7" top="0.78740157499999996" bottom="0.78740157499999996" header="0.3" footer="0.3"/>
  <pageSetup paperSize="9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485775</xdr:colOff>
                    <xdr:row>1</xdr:row>
                    <xdr:rowOff>142875</xdr:rowOff>
                  </from>
                  <to>
                    <xdr:col>6</xdr:col>
                    <xdr:colOff>209550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485775</xdr:colOff>
                    <xdr:row>2</xdr:row>
                    <xdr:rowOff>133350</xdr:rowOff>
                  </from>
                  <to>
                    <xdr:col>6</xdr:col>
                    <xdr:colOff>571500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485775</xdr:colOff>
                    <xdr:row>3</xdr:row>
                    <xdr:rowOff>95250</xdr:rowOff>
                  </from>
                  <to>
                    <xdr:col>6</xdr:col>
                    <xdr:colOff>209550</xdr:colOff>
                    <xdr:row>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/>
  </sheetViews>
  <sheetFormatPr baseColWidth="10" defaultColWidth="11" defaultRowHeight="12.75" x14ac:dyDescent="0.2"/>
  <cols>
    <col min="1" max="1" width="7.5" style="54" bestFit="1" customWidth="1"/>
    <col min="2" max="2" width="15.5" style="54" bestFit="1" customWidth="1"/>
    <col min="3" max="3" width="40.875" style="54" bestFit="1" customWidth="1"/>
    <col min="4" max="4" width="41.625" style="54" bestFit="1" customWidth="1"/>
    <col min="5" max="5" width="41.125" style="54" bestFit="1" customWidth="1"/>
    <col min="6" max="16384" width="11" style="54"/>
  </cols>
  <sheetData>
    <row r="1" spans="1:6" x14ac:dyDescent="0.2">
      <c r="A1" s="48" t="s">
        <v>71</v>
      </c>
      <c r="B1" s="48" t="s">
        <v>72</v>
      </c>
      <c r="C1" s="48" t="s">
        <v>73</v>
      </c>
      <c r="D1" s="48" t="s">
        <v>74</v>
      </c>
      <c r="E1" s="48" t="s">
        <v>75</v>
      </c>
      <c r="F1" s="49"/>
    </row>
    <row r="2" spans="1:6" x14ac:dyDescent="0.2">
      <c r="A2" s="55" t="s">
        <v>76</v>
      </c>
      <c r="B2" s="56">
        <v>1</v>
      </c>
      <c r="C2" s="49"/>
      <c r="D2" s="49"/>
      <c r="E2" s="49"/>
      <c r="F2" s="49"/>
    </row>
    <row r="3" spans="1:6" x14ac:dyDescent="0.2">
      <c r="A3" s="55"/>
      <c r="B3" s="54" t="s">
        <v>78</v>
      </c>
      <c r="C3" s="50" t="s">
        <v>79</v>
      </c>
      <c r="D3" s="50" t="s">
        <v>80</v>
      </c>
      <c r="E3" s="50" t="s">
        <v>81</v>
      </c>
      <c r="F3" s="49"/>
    </row>
    <row r="4" spans="1:6" ht="25.5" x14ac:dyDescent="0.2">
      <c r="A4" s="55" t="s">
        <v>77</v>
      </c>
      <c r="B4" s="51" t="s">
        <v>82</v>
      </c>
      <c r="C4" s="51" t="s">
        <v>292</v>
      </c>
      <c r="D4" s="51" t="s">
        <v>293</v>
      </c>
      <c r="E4" s="51" t="s">
        <v>294</v>
      </c>
      <c r="F4" s="49"/>
    </row>
    <row r="5" spans="1:6" ht="25.5" x14ac:dyDescent="0.2">
      <c r="A5" s="55"/>
      <c r="B5" s="54" t="s">
        <v>99</v>
      </c>
      <c r="C5" s="50" t="s">
        <v>60</v>
      </c>
      <c r="D5" s="50" t="s">
        <v>260</v>
      </c>
      <c r="E5" s="50" t="s">
        <v>201</v>
      </c>
      <c r="F5" s="49"/>
    </row>
    <row r="6" spans="1:6" x14ac:dyDescent="0.2">
      <c r="A6" s="55"/>
      <c r="B6" s="55"/>
      <c r="C6" s="55"/>
      <c r="D6" s="55"/>
      <c r="E6" s="55"/>
      <c r="F6" s="49"/>
    </row>
    <row r="7" spans="1:6" ht="14.25" customHeight="1" x14ac:dyDescent="0.2">
      <c r="A7" s="55" t="s">
        <v>120</v>
      </c>
      <c r="B7" s="54" t="s">
        <v>83</v>
      </c>
      <c r="C7" s="50" t="s">
        <v>0</v>
      </c>
      <c r="D7" s="50" t="s">
        <v>0</v>
      </c>
      <c r="E7" s="50" t="s">
        <v>167</v>
      </c>
      <c r="F7" s="49"/>
    </row>
    <row r="8" spans="1:6" x14ac:dyDescent="0.2">
      <c r="A8" s="55"/>
      <c r="B8" s="54" t="s">
        <v>84</v>
      </c>
      <c r="C8" s="50" t="s">
        <v>1</v>
      </c>
      <c r="D8" s="50" t="s">
        <v>289</v>
      </c>
      <c r="E8" s="50" t="s">
        <v>168</v>
      </c>
      <c r="F8" s="49"/>
    </row>
    <row r="9" spans="1:6" x14ac:dyDescent="0.2">
      <c r="A9" s="55"/>
      <c r="B9" s="54" t="s">
        <v>85</v>
      </c>
      <c r="C9" s="50" t="s">
        <v>2</v>
      </c>
      <c r="D9" s="50" t="s">
        <v>290</v>
      </c>
      <c r="E9" s="50" t="s">
        <v>169</v>
      </c>
      <c r="F9" s="49"/>
    </row>
    <row r="10" spans="1:6" x14ac:dyDescent="0.2">
      <c r="A10" s="55"/>
      <c r="B10" s="55"/>
      <c r="C10" s="55"/>
      <c r="D10" s="55"/>
      <c r="E10" s="55"/>
      <c r="F10" s="55"/>
    </row>
    <row r="11" spans="1:6" x14ac:dyDescent="0.2">
      <c r="A11" s="55"/>
      <c r="B11" s="54" t="s">
        <v>131</v>
      </c>
      <c r="C11" s="50" t="s">
        <v>3</v>
      </c>
      <c r="D11" s="50" t="s">
        <v>288</v>
      </c>
      <c r="E11" s="50" t="s">
        <v>170</v>
      </c>
      <c r="F11" s="49"/>
    </row>
    <row r="12" spans="1:6" x14ac:dyDescent="0.2">
      <c r="A12" s="55"/>
      <c r="B12" s="54" t="s">
        <v>132</v>
      </c>
      <c r="C12" s="50" t="s">
        <v>286</v>
      </c>
      <c r="D12" s="50" t="s">
        <v>287</v>
      </c>
      <c r="E12" s="50" t="s">
        <v>233</v>
      </c>
      <c r="F12" s="49"/>
    </row>
    <row r="13" spans="1:6" x14ac:dyDescent="0.2">
      <c r="A13" s="55"/>
      <c r="B13" s="54" t="s">
        <v>133</v>
      </c>
      <c r="C13" s="50" t="s">
        <v>3</v>
      </c>
      <c r="D13" s="50" t="s">
        <v>288</v>
      </c>
      <c r="E13" s="50" t="s">
        <v>170</v>
      </c>
      <c r="F13" s="49"/>
    </row>
    <row r="14" spans="1:6" x14ac:dyDescent="0.2">
      <c r="A14" s="55"/>
      <c r="B14" s="54" t="s">
        <v>134</v>
      </c>
      <c r="C14" s="50" t="s">
        <v>286</v>
      </c>
      <c r="D14" s="50" t="s">
        <v>287</v>
      </c>
      <c r="E14" s="50" t="s">
        <v>233</v>
      </c>
      <c r="F14" s="49"/>
    </row>
    <row r="15" spans="1:6" x14ac:dyDescent="0.2">
      <c r="A15" s="55"/>
      <c r="B15" s="54" t="s">
        <v>135</v>
      </c>
      <c r="C15" s="50" t="s">
        <v>3</v>
      </c>
      <c r="D15" s="50" t="s">
        <v>288</v>
      </c>
      <c r="E15" s="50" t="s">
        <v>170</v>
      </c>
      <c r="F15" s="49"/>
    </row>
    <row r="16" spans="1:6" x14ac:dyDescent="0.2">
      <c r="A16" s="55"/>
      <c r="B16" s="54" t="s">
        <v>136</v>
      </c>
      <c r="C16" s="50" t="s">
        <v>286</v>
      </c>
      <c r="D16" s="50" t="s">
        <v>287</v>
      </c>
      <c r="E16" s="50" t="s">
        <v>233</v>
      </c>
      <c r="F16" s="49"/>
    </row>
    <row r="17" spans="1:6" x14ac:dyDescent="0.2">
      <c r="A17" s="55"/>
      <c r="B17" s="49"/>
      <c r="C17" s="49"/>
      <c r="D17" s="49"/>
      <c r="E17" s="49"/>
      <c r="F17" s="49"/>
    </row>
    <row r="18" spans="1:6" x14ac:dyDescent="0.2">
      <c r="A18" s="55" t="s">
        <v>77</v>
      </c>
      <c r="B18" s="54" t="s">
        <v>86</v>
      </c>
      <c r="C18" s="50" t="s">
        <v>0</v>
      </c>
      <c r="D18" s="50" t="s">
        <v>0</v>
      </c>
      <c r="E18" s="50" t="s">
        <v>167</v>
      </c>
      <c r="F18" s="49"/>
    </row>
    <row r="19" spans="1:6" x14ac:dyDescent="0.2">
      <c r="A19" s="49"/>
      <c r="B19" s="54" t="s">
        <v>87</v>
      </c>
      <c r="C19" s="50" t="s">
        <v>4</v>
      </c>
      <c r="D19" s="50" t="s">
        <v>241</v>
      </c>
      <c r="E19" s="50" t="s">
        <v>176</v>
      </c>
      <c r="F19" s="49"/>
    </row>
    <row r="20" spans="1:6" x14ac:dyDescent="0.2">
      <c r="A20" s="49"/>
      <c r="B20" s="54" t="s">
        <v>88</v>
      </c>
      <c r="C20" s="50" t="s">
        <v>62</v>
      </c>
      <c r="D20" s="50" t="s">
        <v>177</v>
      </c>
      <c r="E20" s="50" t="s">
        <v>177</v>
      </c>
      <c r="F20" s="49"/>
    </row>
    <row r="21" spans="1:6" x14ac:dyDescent="0.2">
      <c r="A21" s="49"/>
      <c r="B21" s="54" t="s">
        <v>89</v>
      </c>
      <c r="C21" s="50" t="s">
        <v>5</v>
      </c>
      <c r="D21" s="50" t="s">
        <v>178</v>
      </c>
      <c r="E21" s="50" t="s">
        <v>178</v>
      </c>
      <c r="F21" s="49"/>
    </row>
    <row r="22" spans="1:6" x14ac:dyDescent="0.2">
      <c r="A22" s="49"/>
      <c r="B22" s="54" t="s">
        <v>90</v>
      </c>
      <c r="C22" s="50" t="s">
        <v>6</v>
      </c>
      <c r="D22" s="50" t="s">
        <v>6</v>
      </c>
      <c r="E22" s="50" t="s">
        <v>6</v>
      </c>
      <c r="F22" s="49"/>
    </row>
    <row r="23" spans="1:6" x14ac:dyDescent="0.2">
      <c r="A23" s="49"/>
      <c r="B23" s="54" t="s">
        <v>91</v>
      </c>
      <c r="C23" s="50" t="s">
        <v>7</v>
      </c>
      <c r="D23" s="50" t="s">
        <v>234</v>
      </c>
      <c r="E23" s="50" t="s">
        <v>179</v>
      </c>
      <c r="F23" s="49"/>
    </row>
    <row r="24" spans="1:6" x14ac:dyDescent="0.2">
      <c r="A24" s="49"/>
      <c r="B24" s="54" t="s">
        <v>92</v>
      </c>
      <c r="C24" s="50" t="s">
        <v>8</v>
      </c>
      <c r="D24" s="50" t="s">
        <v>240</v>
      </c>
      <c r="E24" s="50" t="s">
        <v>180</v>
      </c>
      <c r="F24" s="49"/>
    </row>
    <row r="25" spans="1:6" x14ac:dyDescent="0.2">
      <c r="A25" s="49"/>
      <c r="B25" s="54" t="s">
        <v>93</v>
      </c>
      <c r="C25" s="50" t="s">
        <v>9</v>
      </c>
      <c r="D25" s="50" t="s">
        <v>239</v>
      </c>
      <c r="E25" s="50" t="s">
        <v>181</v>
      </c>
      <c r="F25" s="49"/>
    </row>
    <row r="26" spans="1:6" x14ac:dyDescent="0.2">
      <c r="A26" s="49"/>
      <c r="B26" s="54" t="s">
        <v>100</v>
      </c>
      <c r="C26" s="50" t="s">
        <v>10</v>
      </c>
      <c r="D26" s="50" t="s">
        <v>237</v>
      </c>
      <c r="E26" s="50" t="s">
        <v>182</v>
      </c>
      <c r="F26" s="49"/>
    </row>
    <row r="27" spans="1:6" x14ac:dyDescent="0.2">
      <c r="A27" s="49"/>
      <c r="B27" s="54" t="s">
        <v>101</v>
      </c>
      <c r="C27" s="50" t="s">
        <v>11</v>
      </c>
      <c r="D27" s="50" t="s">
        <v>11</v>
      </c>
      <c r="E27" s="50" t="s">
        <v>183</v>
      </c>
      <c r="F27" s="49"/>
    </row>
    <row r="28" spans="1:6" x14ac:dyDescent="0.2">
      <c r="A28" s="49"/>
      <c r="B28" s="54" t="s">
        <v>102</v>
      </c>
      <c r="C28" s="50" t="s">
        <v>63</v>
      </c>
      <c r="D28" s="50" t="s">
        <v>236</v>
      </c>
      <c r="E28" s="50" t="s">
        <v>184</v>
      </c>
      <c r="F28" s="49"/>
    </row>
    <row r="29" spans="1:6" x14ac:dyDescent="0.2">
      <c r="A29" s="49"/>
      <c r="B29" s="54" t="s">
        <v>103</v>
      </c>
      <c r="C29" s="50" t="s">
        <v>12</v>
      </c>
      <c r="D29" s="50" t="s">
        <v>235</v>
      </c>
      <c r="E29" s="50" t="s">
        <v>185</v>
      </c>
      <c r="F29" s="49"/>
    </row>
    <row r="30" spans="1:6" x14ac:dyDescent="0.2">
      <c r="A30" s="49"/>
      <c r="B30" s="54" t="s">
        <v>104</v>
      </c>
      <c r="C30" s="50" t="s">
        <v>13</v>
      </c>
      <c r="D30" s="50" t="s">
        <v>242</v>
      </c>
      <c r="E30" s="50" t="s">
        <v>186</v>
      </c>
      <c r="F30" s="49"/>
    </row>
    <row r="31" spans="1:6" x14ac:dyDescent="0.2">
      <c r="A31" s="49"/>
      <c r="B31" s="54" t="s">
        <v>105</v>
      </c>
      <c r="C31" s="50" t="s">
        <v>14</v>
      </c>
      <c r="D31" s="50" t="s">
        <v>243</v>
      </c>
      <c r="E31" s="50" t="s">
        <v>187</v>
      </c>
      <c r="F31" s="49"/>
    </row>
    <row r="32" spans="1:6" x14ac:dyDescent="0.2">
      <c r="A32" s="49"/>
      <c r="B32" s="54" t="s">
        <v>106</v>
      </c>
      <c r="C32" s="50" t="s">
        <v>15</v>
      </c>
      <c r="D32" s="50" t="s">
        <v>238</v>
      </c>
      <c r="E32" s="50" t="s">
        <v>188</v>
      </c>
      <c r="F32" s="49"/>
    </row>
    <row r="33" spans="1:6" x14ac:dyDescent="0.2">
      <c r="A33" s="49"/>
      <c r="B33" s="54" t="s">
        <v>107</v>
      </c>
      <c r="C33" s="50" t="s">
        <v>16</v>
      </c>
      <c r="D33" s="50" t="s">
        <v>244</v>
      </c>
      <c r="E33" s="50" t="s">
        <v>189</v>
      </c>
      <c r="F33" s="49"/>
    </row>
    <row r="34" spans="1:6" x14ac:dyDescent="0.2">
      <c r="A34" s="49"/>
      <c r="B34" s="54" t="s">
        <v>108</v>
      </c>
      <c r="C34" s="50" t="s">
        <v>17</v>
      </c>
      <c r="D34" s="50" t="s">
        <v>245</v>
      </c>
      <c r="E34" s="50" t="s">
        <v>190</v>
      </c>
      <c r="F34" s="49"/>
    </row>
    <row r="35" spans="1:6" x14ac:dyDescent="0.2">
      <c r="A35" s="49"/>
      <c r="B35" s="54" t="s">
        <v>109</v>
      </c>
      <c r="C35" s="50" t="s">
        <v>18</v>
      </c>
      <c r="D35" s="50" t="s">
        <v>246</v>
      </c>
      <c r="E35" s="50" t="s">
        <v>191</v>
      </c>
      <c r="F35" s="49"/>
    </row>
    <row r="36" spans="1:6" x14ac:dyDescent="0.2">
      <c r="A36" s="49"/>
      <c r="B36" s="54" t="s">
        <v>110</v>
      </c>
      <c r="C36" s="50" t="s">
        <v>64</v>
      </c>
      <c r="D36" s="50" t="s">
        <v>250</v>
      </c>
      <c r="E36" s="50" t="s">
        <v>192</v>
      </c>
      <c r="F36" s="49"/>
    </row>
    <row r="37" spans="1:6" x14ac:dyDescent="0.2">
      <c r="A37" s="49"/>
      <c r="B37" s="54" t="s">
        <v>111</v>
      </c>
      <c r="C37" s="50" t="s">
        <v>19</v>
      </c>
      <c r="D37" s="50" t="s">
        <v>193</v>
      </c>
      <c r="E37" s="50" t="s">
        <v>193</v>
      </c>
      <c r="F37" s="49"/>
    </row>
    <row r="38" spans="1:6" x14ac:dyDescent="0.2">
      <c r="A38" s="49"/>
      <c r="B38" s="54" t="s">
        <v>112</v>
      </c>
      <c r="C38" s="50" t="s">
        <v>20</v>
      </c>
      <c r="D38" s="50" t="s">
        <v>194</v>
      </c>
      <c r="E38" s="50" t="s">
        <v>194</v>
      </c>
      <c r="F38" s="49"/>
    </row>
    <row r="39" spans="1:6" x14ac:dyDescent="0.2">
      <c r="A39" s="49"/>
      <c r="B39" s="54" t="s">
        <v>113</v>
      </c>
      <c r="C39" s="50" t="s">
        <v>66</v>
      </c>
      <c r="D39" s="50" t="s">
        <v>66</v>
      </c>
      <c r="E39" s="50" t="s">
        <v>195</v>
      </c>
      <c r="F39" s="49"/>
    </row>
    <row r="40" spans="1:6" x14ac:dyDescent="0.2">
      <c r="A40" s="49"/>
      <c r="B40" s="54" t="s">
        <v>114</v>
      </c>
      <c r="C40" s="50" t="s">
        <v>67</v>
      </c>
      <c r="D40" s="50" t="s">
        <v>249</v>
      </c>
      <c r="E40" s="50" t="s">
        <v>196</v>
      </c>
      <c r="F40" s="49"/>
    </row>
    <row r="41" spans="1:6" x14ac:dyDescent="0.2">
      <c r="A41" s="49"/>
      <c r="B41" s="54" t="s">
        <v>115</v>
      </c>
      <c r="C41" s="50" t="s">
        <v>65</v>
      </c>
      <c r="D41" s="50" t="s">
        <v>248</v>
      </c>
      <c r="E41" s="50" t="s">
        <v>197</v>
      </c>
      <c r="F41" s="49"/>
    </row>
    <row r="42" spans="1:6" x14ac:dyDescent="0.2">
      <c r="A42" s="49"/>
      <c r="B42" s="54" t="s">
        <v>116</v>
      </c>
      <c r="C42" s="50" t="s">
        <v>68</v>
      </c>
      <c r="D42" s="50" t="s">
        <v>198</v>
      </c>
      <c r="E42" s="50" t="s">
        <v>198</v>
      </c>
      <c r="F42" s="49"/>
    </row>
    <row r="43" spans="1:6" x14ac:dyDescent="0.2">
      <c r="A43" s="49"/>
      <c r="B43" s="54" t="s">
        <v>117</v>
      </c>
      <c r="C43" s="50" t="s">
        <v>69</v>
      </c>
      <c r="D43" s="50" t="s">
        <v>247</v>
      </c>
      <c r="E43" s="50" t="s">
        <v>199</v>
      </c>
      <c r="F43" s="49"/>
    </row>
    <row r="44" spans="1:6" x14ac:dyDescent="0.2">
      <c r="A44" s="49"/>
      <c r="B44" s="54" t="s">
        <v>118</v>
      </c>
      <c r="C44" s="50" t="s">
        <v>21</v>
      </c>
      <c r="D44" s="50" t="s">
        <v>200</v>
      </c>
      <c r="E44" s="50" t="s">
        <v>200</v>
      </c>
      <c r="F44" s="49"/>
    </row>
    <row r="45" spans="1:6" x14ac:dyDescent="0.2">
      <c r="A45" s="49"/>
      <c r="B45" s="49"/>
      <c r="C45" s="49"/>
      <c r="D45" s="49"/>
      <c r="E45" s="49"/>
      <c r="F45" s="49"/>
    </row>
    <row r="46" spans="1:6" ht="38.25" x14ac:dyDescent="0.2">
      <c r="A46" s="55"/>
      <c r="B46" s="54" t="s">
        <v>94</v>
      </c>
      <c r="C46" s="50" t="s">
        <v>22</v>
      </c>
      <c r="D46" s="50" t="s">
        <v>282</v>
      </c>
      <c r="E46" s="52" t="s">
        <v>171</v>
      </c>
      <c r="F46" s="49"/>
    </row>
    <row r="47" spans="1:6" ht="38.25" x14ac:dyDescent="0.2">
      <c r="A47" s="49"/>
      <c r="B47" s="54" t="s">
        <v>95</v>
      </c>
      <c r="C47" s="50" t="s">
        <v>23</v>
      </c>
      <c r="D47" s="50" t="s">
        <v>283</v>
      </c>
      <c r="E47" s="52" t="s">
        <v>172</v>
      </c>
      <c r="F47" s="49"/>
    </row>
    <row r="48" spans="1:6" ht="51" x14ac:dyDescent="0.2">
      <c r="A48" s="49"/>
      <c r="B48" s="54" t="s">
        <v>96</v>
      </c>
      <c r="C48" s="50" t="s">
        <v>24</v>
      </c>
      <c r="D48" s="50" t="s">
        <v>284</v>
      </c>
      <c r="E48" s="50" t="s">
        <v>173</v>
      </c>
      <c r="F48" s="49"/>
    </row>
    <row r="49" spans="1:6" ht="51" x14ac:dyDescent="0.2">
      <c r="A49" s="49"/>
      <c r="B49" s="54" t="s">
        <v>97</v>
      </c>
      <c r="C49" s="50" t="s">
        <v>25</v>
      </c>
      <c r="D49" s="50" t="s">
        <v>285</v>
      </c>
      <c r="E49" s="50" t="s">
        <v>174</v>
      </c>
      <c r="F49" s="49"/>
    </row>
    <row r="50" spans="1:6" x14ac:dyDescent="0.2">
      <c r="A50" s="49"/>
      <c r="B50" s="49"/>
      <c r="C50" s="49"/>
      <c r="D50" s="49"/>
      <c r="E50" s="49"/>
      <c r="F50" s="49"/>
    </row>
    <row r="51" spans="1:6" x14ac:dyDescent="0.2">
      <c r="A51" s="49" t="s">
        <v>120</v>
      </c>
      <c r="B51" s="54" t="s">
        <v>119</v>
      </c>
      <c r="C51" s="50" t="s">
        <v>61</v>
      </c>
      <c r="D51" s="50" t="s">
        <v>291</v>
      </c>
      <c r="E51" s="50" t="s">
        <v>175</v>
      </c>
      <c r="F51" s="49"/>
    </row>
    <row r="52" spans="1:6" x14ac:dyDescent="0.2">
      <c r="A52" s="49" t="s">
        <v>77</v>
      </c>
      <c r="B52" s="57" t="s">
        <v>98</v>
      </c>
      <c r="C52" s="53" t="s">
        <v>298</v>
      </c>
      <c r="D52" s="53" t="s">
        <v>299</v>
      </c>
      <c r="E52" s="53" t="s">
        <v>300</v>
      </c>
      <c r="F52" s="49"/>
    </row>
    <row r="53" spans="1:6" x14ac:dyDescent="0.2">
      <c r="A53" s="49"/>
      <c r="B53" s="49"/>
      <c r="C53" s="49"/>
      <c r="D53" s="49"/>
      <c r="E53" s="49"/>
      <c r="F53" s="49"/>
    </row>
    <row r="54" spans="1:6" x14ac:dyDescent="0.2">
      <c r="A54" s="55"/>
      <c r="B54" s="56"/>
      <c r="C54" s="49"/>
      <c r="D54" s="49"/>
      <c r="E54" s="49"/>
      <c r="F54" s="49"/>
    </row>
    <row r="55" spans="1:6" ht="25.5" x14ac:dyDescent="0.2">
      <c r="A55" s="55" t="s">
        <v>121</v>
      </c>
      <c r="B55" s="54" t="s">
        <v>122</v>
      </c>
      <c r="C55" s="54" t="s">
        <v>295</v>
      </c>
      <c r="D55" s="54" t="s">
        <v>296</v>
      </c>
      <c r="E55" s="54" t="s">
        <v>297</v>
      </c>
      <c r="F55" s="49"/>
    </row>
    <row r="56" spans="1:6" ht="25.5" x14ac:dyDescent="0.2">
      <c r="A56" s="55"/>
      <c r="B56" s="54" t="s">
        <v>123</v>
      </c>
      <c r="C56" s="50" t="s">
        <v>60</v>
      </c>
      <c r="D56" s="50" t="s">
        <v>260</v>
      </c>
      <c r="E56" s="50" t="s">
        <v>201</v>
      </c>
      <c r="F56" s="49"/>
    </row>
    <row r="57" spans="1:6" x14ac:dyDescent="0.2">
      <c r="A57" s="55"/>
      <c r="B57" s="49"/>
      <c r="C57" s="49"/>
      <c r="D57" s="49"/>
      <c r="E57" s="49"/>
      <c r="F57" s="49"/>
    </row>
    <row r="58" spans="1:6" x14ac:dyDescent="0.2">
      <c r="A58" s="55" t="s">
        <v>121</v>
      </c>
      <c r="B58" s="54" t="s">
        <v>124</v>
      </c>
      <c r="C58" s="50" t="s">
        <v>0</v>
      </c>
      <c r="D58" s="50" t="s">
        <v>0</v>
      </c>
      <c r="E58" s="50" t="s">
        <v>167</v>
      </c>
      <c r="F58" s="49"/>
    </row>
    <row r="59" spans="1:6" x14ac:dyDescent="0.2">
      <c r="A59" s="49"/>
      <c r="B59" s="54" t="s">
        <v>125</v>
      </c>
      <c r="C59" s="50" t="s">
        <v>26</v>
      </c>
      <c r="D59" s="50" t="s">
        <v>253</v>
      </c>
      <c r="E59" s="50" t="s">
        <v>202</v>
      </c>
      <c r="F59" s="49"/>
    </row>
    <row r="60" spans="1:6" x14ac:dyDescent="0.2">
      <c r="A60" s="49"/>
      <c r="B60" s="54" t="s">
        <v>126</v>
      </c>
      <c r="C60" s="50" t="s">
        <v>29</v>
      </c>
      <c r="D60" s="58" t="s">
        <v>254</v>
      </c>
      <c r="E60" s="50" t="s">
        <v>203</v>
      </c>
      <c r="F60" s="49"/>
    </row>
    <row r="61" spans="1:6" x14ac:dyDescent="0.2">
      <c r="A61" s="49"/>
      <c r="B61" s="54" t="s">
        <v>127</v>
      </c>
      <c r="C61" s="50" t="s">
        <v>54</v>
      </c>
      <c r="D61" s="50" t="s">
        <v>255</v>
      </c>
      <c r="E61" s="50" t="s">
        <v>204</v>
      </c>
      <c r="F61" s="49"/>
    </row>
    <row r="62" spans="1:6" x14ac:dyDescent="0.2">
      <c r="A62" s="49"/>
      <c r="B62" s="54" t="s">
        <v>128</v>
      </c>
      <c r="C62" s="50" t="s">
        <v>57</v>
      </c>
      <c r="D62" s="50" t="s">
        <v>256</v>
      </c>
      <c r="E62" s="50" t="s">
        <v>205</v>
      </c>
      <c r="F62" s="49"/>
    </row>
    <row r="63" spans="1:6" x14ac:dyDescent="0.2">
      <c r="A63" s="49"/>
      <c r="B63" s="54" t="s">
        <v>129</v>
      </c>
      <c r="C63" s="50" t="s">
        <v>30</v>
      </c>
      <c r="D63" s="50" t="s">
        <v>257</v>
      </c>
      <c r="E63" s="50" t="s">
        <v>206</v>
      </c>
      <c r="F63" s="49"/>
    </row>
    <row r="64" spans="1:6" x14ac:dyDescent="0.2">
      <c r="A64" s="49"/>
      <c r="B64" s="54" t="s">
        <v>130</v>
      </c>
      <c r="C64" s="50" t="s">
        <v>34</v>
      </c>
      <c r="D64" s="50" t="s">
        <v>258</v>
      </c>
      <c r="E64" s="50" t="s">
        <v>207</v>
      </c>
      <c r="F64" s="49"/>
    </row>
    <row r="65" spans="1:6" x14ac:dyDescent="0.2">
      <c r="A65" s="49"/>
      <c r="B65" s="54" t="s">
        <v>151</v>
      </c>
      <c r="C65" s="50" t="s">
        <v>46</v>
      </c>
      <c r="D65" s="50" t="s">
        <v>259</v>
      </c>
      <c r="E65" s="50" t="s">
        <v>208</v>
      </c>
      <c r="F65" s="49"/>
    </row>
    <row r="66" spans="1:6" x14ac:dyDescent="0.2">
      <c r="A66" s="49"/>
      <c r="B66" s="49"/>
      <c r="C66" s="49"/>
      <c r="D66" s="49"/>
      <c r="E66" s="49"/>
      <c r="F66" s="49"/>
    </row>
    <row r="67" spans="1:6" x14ac:dyDescent="0.2">
      <c r="A67" s="49"/>
      <c r="B67" s="54" t="s">
        <v>137</v>
      </c>
      <c r="C67" s="50" t="s">
        <v>27</v>
      </c>
      <c r="D67" s="50" t="s">
        <v>251</v>
      </c>
      <c r="E67" s="50" t="s">
        <v>209</v>
      </c>
      <c r="F67" s="49"/>
    </row>
    <row r="68" spans="1:6" x14ac:dyDescent="0.2">
      <c r="A68" s="49"/>
      <c r="B68" s="54" t="s">
        <v>138</v>
      </c>
      <c r="C68" s="50" t="s">
        <v>28</v>
      </c>
      <c r="D68" s="50" t="s">
        <v>252</v>
      </c>
      <c r="E68" s="50" t="s">
        <v>210</v>
      </c>
      <c r="F68" s="49"/>
    </row>
    <row r="69" spans="1:6" x14ac:dyDescent="0.2">
      <c r="A69" s="49"/>
      <c r="B69" s="54" t="s">
        <v>139</v>
      </c>
      <c r="C69" s="50" t="s">
        <v>50</v>
      </c>
      <c r="D69" s="50" t="s">
        <v>50</v>
      </c>
      <c r="E69" s="50" t="s">
        <v>50</v>
      </c>
      <c r="F69" s="49"/>
    </row>
    <row r="70" spans="1:6" x14ac:dyDescent="0.2">
      <c r="A70" s="49"/>
      <c r="B70" s="54" t="s">
        <v>140</v>
      </c>
      <c r="C70" s="50" t="s">
        <v>51</v>
      </c>
      <c r="D70" s="50" t="s">
        <v>51</v>
      </c>
      <c r="E70" s="50" t="s">
        <v>51</v>
      </c>
      <c r="F70" s="49"/>
    </row>
    <row r="71" spans="1:6" x14ac:dyDescent="0.2">
      <c r="A71" s="49"/>
      <c r="B71" s="54" t="s">
        <v>152</v>
      </c>
      <c r="C71" s="50" t="s">
        <v>52</v>
      </c>
      <c r="D71" s="50" t="s">
        <v>52</v>
      </c>
      <c r="E71" s="50" t="s">
        <v>52</v>
      </c>
      <c r="F71" s="49"/>
    </row>
    <row r="72" spans="1:6" x14ac:dyDescent="0.2">
      <c r="A72" s="49"/>
      <c r="B72" s="54" t="s">
        <v>153</v>
      </c>
      <c r="C72" s="50" t="s">
        <v>53</v>
      </c>
      <c r="D72" s="50" t="s">
        <v>53</v>
      </c>
      <c r="E72" s="50" t="s">
        <v>53</v>
      </c>
      <c r="F72" s="49"/>
    </row>
    <row r="73" spans="1:6" x14ac:dyDescent="0.2">
      <c r="A73" s="49"/>
      <c r="B73" s="54" t="s">
        <v>154</v>
      </c>
      <c r="C73" s="50" t="s">
        <v>70</v>
      </c>
      <c r="D73" s="50" t="s">
        <v>261</v>
      </c>
      <c r="E73" s="50" t="s">
        <v>211</v>
      </c>
      <c r="F73" s="49"/>
    </row>
    <row r="74" spans="1:6" x14ac:dyDescent="0.2">
      <c r="A74" s="49"/>
      <c r="B74" s="54" t="s">
        <v>141</v>
      </c>
      <c r="C74" s="50" t="s">
        <v>55</v>
      </c>
      <c r="D74" s="50" t="s">
        <v>262</v>
      </c>
      <c r="E74" s="50" t="s">
        <v>212</v>
      </c>
      <c r="F74" s="49"/>
    </row>
    <row r="75" spans="1:6" x14ac:dyDescent="0.2">
      <c r="A75" s="49"/>
      <c r="B75" s="54" t="s">
        <v>142</v>
      </c>
      <c r="C75" s="50" t="s">
        <v>56</v>
      </c>
      <c r="D75" s="50" t="s">
        <v>263</v>
      </c>
      <c r="E75" s="50" t="s">
        <v>213</v>
      </c>
      <c r="F75" s="49"/>
    </row>
    <row r="76" spans="1:6" x14ac:dyDescent="0.2">
      <c r="A76" s="49"/>
      <c r="B76" s="54" t="s">
        <v>143</v>
      </c>
      <c r="C76" s="50" t="s">
        <v>58</v>
      </c>
      <c r="D76" s="50" t="s">
        <v>281</v>
      </c>
      <c r="E76" s="50" t="s">
        <v>214</v>
      </c>
      <c r="F76" s="49"/>
    </row>
    <row r="77" spans="1:6" x14ac:dyDescent="0.2">
      <c r="A77" s="49"/>
      <c r="B77" s="54" t="s">
        <v>144</v>
      </c>
      <c r="C77" s="50" t="s">
        <v>59</v>
      </c>
      <c r="D77" s="50" t="s">
        <v>280</v>
      </c>
      <c r="E77" s="50" t="s">
        <v>215</v>
      </c>
      <c r="F77" s="49"/>
    </row>
    <row r="78" spans="1:6" x14ac:dyDescent="0.2">
      <c r="A78" s="49"/>
      <c r="B78" s="54" t="s">
        <v>145</v>
      </c>
      <c r="C78" s="50" t="s">
        <v>31</v>
      </c>
      <c r="D78" s="50" t="s">
        <v>279</v>
      </c>
      <c r="E78" s="50" t="s">
        <v>216</v>
      </c>
      <c r="F78" s="49"/>
    </row>
    <row r="79" spans="1:6" x14ac:dyDescent="0.2">
      <c r="A79" s="49"/>
      <c r="B79" s="54" t="s">
        <v>146</v>
      </c>
      <c r="C79" s="50" t="s">
        <v>32</v>
      </c>
      <c r="D79" s="50" t="s">
        <v>278</v>
      </c>
      <c r="E79" s="50" t="s">
        <v>217</v>
      </c>
      <c r="F79" s="49"/>
    </row>
    <row r="80" spans="1:6" x14ac:dyDescent="0.2">
      <c r="A80" s="49"/>
      <c r="B80" s="54" t="s">
        <v>147</v>
      </c>
      <c r="C80" s="50" t="s">
        <v>33</v>
      </c>
      <c r="D80" s="50" t="s">
        <v>278</v>
      </c>
      <c r="E80" s="50" t="s">
        <v>218</v>
      </c>
      <c r="F80" s="49"/>
    </row>
    <row r="81" spans="1:6" x14ac:dyDescent="0.2">
      <c r="A81" s="49"/>
      <c r="B81" s="54" t="s">
        <v>148</v>
      </c>
      <c r="C81" s="50" t="s">
        <v>35</v>
      </c>
      <c r="D81" s="50" t="s">
        <v>277</v>
      </c>
      <c r="E81" s="50" t="s">
        <v>219</v>
      </c>
      <c r="F81" s="49"/>
    </row>
    <row r="82" spans="1:6" x14ac:dyDescent="0.2">
      <c r="A82" s="49"/>
      <c r="B82" s="54" t="s">
        <v>149</v>
      </c>
      <c r="C82" s="50" t="s">
        <v>36</v>
      </c>
      <c r="D82" s="50" t="s">
        <v>264</v>
      </c>
      <c r="E82" s="50" t="s">
        <v>220</v>
      </c>
      <c r="F82" s="49"/>
    </row>
    <row r="83" spans="1:6" x14ac:dyDescent="0.2">
      <c r="A83" s="49"/>
      <c r="B83" s="54" t="s">
        <v>150</v>
      </c>
      <c r="C83" s="50" t="s">
        <v>37</v>
      </c>
      <c r="D83" s="50" t="s">
        <v>265</v>
      </c>
      <c r="E83" s="50" t="s">
        <v>221</v>
      </c>
      <c r="F83" s="49"/>
    </row>
    <row r="84" spans="1:6" x14ac:dyDescent="0.2">
      <c r="A84" s="49"/>
      <c r="B84" s="54" t="s">
        <v>155</v>
      </c>
      <c r="C84" s="50" t="s">
        <v>38</v>
      </c>
      <c r="D84" s="50" t="s">
        <v>266</v>
      </c>
      <c r="E84" s="50" t="s">
        <v>222</v>
      </c>
      <c r="F84" s="49"/>
    </row>
    <row r="85" spans="1:6" x14ac:dyDescent="0.2">
      <c r="A85" s="49"/>
      <c r="B85" s="54" t="s">
        <v>156</v>
      </c>
      <c r="C85" s="50" t="s">
        <v>39</v>
      </c>
      <c r="D85" s="50" t="s">
        <v>267</v>
      </c>
      <c r="E85" s="50" t="s">
        <v>223</v>
      </c>
      <c r="F85" s="49"/>
    </row>
    <row r="86" spans="1:6" x14ac:dyDescent="0.2">
      <c r="A86" s="49"/>
      <c r="B86" s="54" t="s">
        <v>157</v>
      </c>
      <c r="C86" s="50" t="s">
        <v>40</v>
      </c>
      <c r="D86" s="50" t="s">
        <v>268</v>
      </c>
      <c r="E86" s="50" t="s">
        <v>224</v>
      </c>
      <c r="F86" s="49"/>
    </row>
    <row r="87" spans="1:6" x14ac:dyDescent="0.2">
      <c r="A87" s="49"/>
      <c r="B87" s="54" t="s">
        <v>158</v>
      </c>
      <c r="C87" s="50" t="s">
        <v>41</v>
      </c>
      <c r="D87" s="50" t="s">
        <v>269</v>
      </c>
      <c r="E87" s="50" t="s">
        <v>225</v>
      </c>
      <c r="F87" s="49"/>
    </row>
    <row r="88" spans="1:6" x14ac:dyDescent="0.2">
      <c r="A88" s="49"/>
      <c r="B88" s="54" t="s">
        <v>159</v>
      </c>
      <c r="C88" s="50" t="s">
        <v>42</v>
      </c>
      <c r="D88" s="50" t="s">
        <v>270</v>
      </c>
      <c r="E88" s="50" t="s">
        <v>226</v>
      </c>
      <c r="F88" s="49"/>
    </row>
    <row r="89" spans="1:6" ht="25.5" x14ac:dyDescent="0.2">
      <c r="A89" s="49"/>
      <c r="B89" s="54" t="s">
        <v>160</v>
      </c>
      <c r="C89" s="50" t="s">
        <v>43</v>
      </c>
      <c r="D89" s="50" t="s">
        <v>271</v>
      </c>
      <c r="E89" s="50" t="s">
        <v>227</v>
      </c>
      <c r="F89" s="49"/>
    </row>
    <row r="90" spans="1:6" ht="38.25" x14ac:dyDescent="0.2">
      <c r="A90" s="49"/>
      <c r="B90" s="54" t="s">
        <v>161</v>
      </c>
      <c r="C90" s="50" t="s">
        <v>44</v>
      </c>
      <c r="D90" s="50" t="s">
        <v>272</v>
      </c>
      <c r="E90" s="50" t="s">
        <v>228</v>
      </c>
      <c r="F90" s="49"/>
    </row>
    <row r="91" spans="1:6" ht="25.5" x14ac:dyDescent="0.2">
      <c r="A91" s="49"/>
      <c r="B91" s="54" t="s">
        <v>162</v>
      </c>
      <c r="C91" s="50" t="s">
        <v>45</v>
      </c>
      <c r="D91" s="50" t="s">
        <v>273</v>
      </c>
      <c r="E91" s="50" t="s">
        <v>229</v>
      </c>
      <c r="F91" s="49"/>
    </row>
    <row r="92" spans="1:6" x14ac:dyDescent="0.2">
      <c r="A92" s="49"/>
      <c r="B92" s="54" t="s">
        <v>163</v>
      </c>
      <c r="C92" s="50" t="s">
        <v>47</v>
      </c>
      <c r="D92" s="50" t="s">
        <v>274</v>
      </c>
      <c r="E92" s="50" t="s">
        <v>230</v>
      </c>
      <c r="F92" s="49"/>
    </row>
    <row r="93" spans="1:6" x14ac:dyDescent="0.2">
      <c r="A93" s="49"/>
      <c r="B93" s="54" t="s">
        <v>164</v>
      </c>
      <c r="C93" s="50" t="s">
        <v>48</v>
      </c>
      <c r="D93" s="50" t="s">
        <v>275</v>
      </c>
      <c r="E93" s="50" t="s">
        <v>231</v>
      </c>
      <c r="F93" s="49"/>
    </row>
    <row r="94" spans="1:6" x14ac:dyDescent="0.2">
      <c r="A94" s="49"/>
      <c r="B94" s="54" t="s">
        <v>165</v>
      </c>
      <c r="C94" s="50" t="s">
        <v>49</v>
      </c>
      <c r="D94" s="50" t="s">
        <v>276</v>
      </c>
      <c r="E94" s="50" t="s">
        <v>232</v>
      </c>
      <c r="F94" s="49"/>
    </row>
    <row r="95" spans="1:6" x14ac:dyDescent="0.2">
      <c r="A95" s="49"/>
      <c r="B95" s="49"/>
      <c r="C95" s="49"/>
      <c r="D95" s="49"/>
      <c r="E95" s="49"/>
      <c r="F95" s="49"/>
    </row>
    <row r="96" spans="1:6" x14ac:dyDescent="0.2">
      <c r="A96" s="49" t="s">
        <v>121</v>
      </c>
      <c r="B96" s="57" t="s">
        <v>166</v>
      </c>
      <c r="C96" s="53" t="s">
        <v>298</v>
      </c>
      <c r="D96" s="53" t="s">
        <v>299</v>
      </c>
      <c r="E96" s="53" t="s">
        <v>300</v>
      </c>
      <c r="F96" s="49"/>
    </row>
    <row r="97" spans="1:6" x14ac:dyDescent="0.2">
      <c r="A97" s="49"/>
      <c r="B97" s="49"/>
      <c r="C97" s="49"/>
      <c r="D97" s="49"/>
      <c r="E97" s="49"/>
      <c r="F97" s="49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1020</Benutzerdefinierte_x0020_ID>
    <Titel_RM xmlns="9d1f6504-c754-4527-a358-047ce8521f96">Dretg da burgais dubel, Svizra e Grischun, 2022</Titel_RM>
    <Titel_DE xmlns="9d1f6504-c754-4527-a358-047ce8521f96">Doppelbuergerschaften, Schweiz und Graubuenden, 2022</Titel_DE>
    <PublishingExpirationDate xmlns="http://schemas.microsoft.com/sharepoint/v3" xsi:nil="true"/>
    <Kategorie xmlns="9d1f6504-c754-4527-a358-047ce8521f96">Migration und Integration</Kategorie>
    <PublishingStartDate xmlns="http://schemas.microsoft.com/sharepoint/v3" xsi:nil="true"/>
    <Titel_IT xmlns="9d1f6504-c754-4527-a358-047ce8521f96">Doppia cittadinanza, in Svizzera e nei Grigioni, 2022</Titel_IT>
  </documentManagement>
</p:properties>
</file>

<file path=customXml/itemProps1.xml><?xml version="1.0" encoding="utf-8"?>
<ds:datastoreItem xmlns:ds="http://schemas.openxmlformats.org/officeDocument/2006/customXml" ds:itemID="{9B6F89EF-A65A-4AE0-8FDA-B713FAF0AEF5}"/>
</file>

<file path=customXml/itemProps2.xml><?xml version="1.0" encoding="utf-8"?>
<ds:datastoreItem xmlns:ds="http://schemas.openxmlformats.org/officeDocument/2006/customXml" ds:itemID="{19D45E97-3989-4D97-9696-352D10293695}"/>
</file>

<file path=customXml/itemProps3.xml><?xml version="1.0" encoding="utf-8"?>
<ds:datastoreItem xmlns:ds="http://schemas.openxmlformats.org/officeDocument/2006/customXml" ds:itemID="{250C1DAE-866F-4EF4-BEA7-BC20BCFEEF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Schweiz 2022</vt:lpstr>
      <vt:lpstr>Graubünden 2022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Doppelbürgerschaften Schweiz und Graubünden</dc:title>
  <dc:creator>Luzius.Stricker@awt.gr.ch</dc:creator>
  <cp:lastModifiedBy>Stricker Luzius</cp:lastModifiedBy>
  <cp:lastPrinted>2018-12-06T18:35:59Z</cp:lastPrinted>
  <dcterms:created xsi:type="dcterms:W3CDTF">2012-06-17T15:40:31Z</dcterms:created>
  <dcterms:modified xsi:type="dcterms:W3CDTF">2024-02-16T10:24:34Z</dcterms:modified>
  <cp:category>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